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T:\Office Share\NEW\Budgets\"/>
    </mc:Choice>
  </mc:AlternateContent>
  <xr:revisionPtr revIDLastSave="0" documentId="8_{210B9594-5551-44EC-94EC-983010631033}" xr6:coauthVersionLast="47" xr6:coauthVersionMax="47" xr10:uidLastSave="{00000000-0000-0000-0000-000000000000}"/>
  <bookViews>
    <workbookView xWindow="5835" yWindow="480" windowWidth="20925" windowHeight="14490" activeTab="1" xr2:uid="{00000000-000D-0000-FFFF-FFFF00000000}"/>
  </bookViews>
  <sheets>
    <sheet name="Export Summary" sheetId="1" r:id="rId1"/>
    <sheet name="DPW Vehicles and Equipment 5 ye" sheetId="2" r:id="rId2"/>
    <sheet name="Sheet 1" sheetId="3" r:id="rId3"/>
    <sheet name="Use Till Fallure (UTF) Equipmen" sheetId="4" r:id="rId4"/>
    <sheet name="30 year inflation numbers"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7" i="5" l="1"/>
  <c r="N35" i="5"/>
  <c r="P33" i="5"/>
  <c r="O33" i="5"/>
  <c r="P32" i="5"/>
  <c r="O32" i="5"/>
  <c r="P31" i="5"/>
  <c r="O31" i="5"/>
  <c r="P30" i="5"/>
  <c r="O30" i="5"/>
  <c r="P29" i="5"/>
  <c r="O29" i="5"/>
  <c r="P28" i="5"/>
  <c r="O28" i="5"/>
  <c r="P27" i="5"/>
  <c r="O27" i="5"/>
  <c r="P26" i="5"/>
  <c r="O26" i="5"/>
  <c r="P25" i="5"/>
  <c r="O25" i="5"/>
  <c r="P24" i="5"/>
  <c r="O24" i="5"/>
  <c r="P23" i="5"/>
  <c r="O23" i="5"/>
  <c r="P22" i="5"/>
  <c r="O22" i="5"/>
  <c r="P21" i="5"/>
  <c r="O21" i="5"/>
  <c r="P20" i="5"/>
  <c r="O20" i="5"/>
  <c r="P19" i="5"/>
  <c r="O19" i="5"/>
  <c r="P18" i="5"/>
  <c r="O18" i="5"/>
  <c r="P17" i="5"/>
  <c r="O17" i="5"/>
  <c r="P16" i="5"/>
  <c r="O16" i="5"/>
  <c r="P15" i="5"/>
  <c r="O15" i="5"/>
  <c r="P14" i="5"/>
  <c r="O14" i="5"/>
  <c r="P13" i="5"/>
  <c r="O13" i="5"/>
  <c r="P12" i="5"/>
  <c r="O12" i="5"/>
  <c r="P11" i="5"/>
  <c r="O11" i="5"/>
  <c r="P10" i="5"/>
  <c r="O10" i="5"/>
  <c r="P9" i="5"/>
  <c r="O9" i="5"/>
  <c r="P8" i="5"/>
  <c r="O8" i="5"/>
  <c r="P7" i="5"/>
  <c r="O7" i="5"/>
  <c r="P6" i="5"/>
  <c r="O6" i="5"/>
  <c r="P5" i="5"/>
  <c r="O5" i="5"/>
  <c r="P4" i="5"/>
  <c r="O4" i="5"/>
  <c r="P3" i="5"/>
  <c r="O3" i="5"/>
  <c r="Y12" i="4"/>
  <c r="Z12" i="4" s="1"/>
  <c r="AA12" i="4" s="1"/>
  <c r="AB12" i="4" s="1"/>
  <c r="AC12" i="4" s="1"/>
  <c r="AD12" i="4" s="1"/>
  <c r="AE12" i="4" s="1"/>
  <c r="AF12" i="4" s="1"/>
  <c r="AG12" i="4" s="1"/>
  <c r="AH12" i="4" s="1"/>
  <c r="AI12" i="4" s="1"/>
  <c r="AJ12" i="4" s="1"/>
  <c r="AK12" i="4" s="1"/>
  <c r="AL12" i="4" s="1"/>
  <c r="AM12" i="4" s="1"/>
  <c r="AN12" i="4" s="1"/>
  <c r="AO12" i="4" s="1"/>
  <c r="AP12" i="4" s="1"/>
  <c r="AQ12" i="4" s="1"/>
  <c r="AR12" i="4" s="1"/>
  <c r="AS12" i="4" s="1"/>
  <c r="AT12" i="4" s="1"/>
  <c r="AU12" i="4" s="1"/>
  <c r="AV12" i="4" s="1"/>
  <c r="AW12" i="4" s="1"/>
  <c r="AX12" i="4" s="1"/>
  <c r="AY12" i="4" s="1"/>
  <c r="U12" i="4"/>
  <c r="V12" i="4" s="1"/>
  <c r="W12" i="4" s="1"/>
  <c r="X12" i="4" s="1"/>
  <c r="V92" i="2"/>
  <c r="AF78" i="2"/>
  <c r="AG78" i="2" s="1"/>
  <c r="AH78" i="2" s="1"/>
  <c r="AI78" i="2" s="1"/>
  <c r="AJ78" i="2" s="1"/>
  <c r="AK78" i="2" s="1"/>
  <c r="AL78" i="2" s="1"/>
  <c r="AM78" i="2" s="1"/>
  <c r="AN78" i="2" s="1"/>
  <c r="AO78" i="2" s="1"/>
  <c r="AP78" i="2" s="1"/>
  <c r="AQ78" i="2" s="1"/>
  <c r="AR78" i="2" s="1"/>
  <c r="AS78" i="2" s="1"/>
  <c r="AT78" i="2" s="1"/>
  <c r="AU78" i="2" s="1"/>
  <c r="AV78" i="2" s="1"/>
  <c r="AW78" i="2" s="1"/>
  <c r="AX78" i="2" s="1"/>
  <c r="AY78" i="2" s="1"/>
  <c r="AZ78" i="2" s="1"/>
  <c r="BA78" i="2" s="1"/>
  <c r="AC78" i="2"/>
  <c r="AD78" i="2" s="1"/>
  <c r="AE78" i="2" s="1"/>
  <c r="X78" i="2"/>
  <c r="Y78" i="2" s="1"/>
  <c r="Z78" i="2" s="1"/>
  <c r="AA78" i="2" s="1"/>
  <c r="AT76" i="2"/>
  <c r="AN76" i="2"/>
  <c r="AH68" i="2"/>
  <c r="AG68" i="2"/>
  <c r="AE68" i="2"/>
  <c r="AB68" i="2"/>
  <c r="Z68" i="2"/>
  <c r="Y68" i="2"/>
  <c r="W68" i="2"/>
  <c r="V68" i="2"/>
  <c r="V67" i="2"/>
  <c r="V69" i="2" s="1"/>
  <c r="V57" i="2"/>
  <c r="U57" i="2"/>
  <c r="AI56" i="2"/>
  <c r="AG56" i="2"/>
  <c r="AF56" i="2"/>
  <c r="AF68" i="2" s="1"/>
  <c r="AC56" i="2"/>
  <c r="AD56" i="2" s="1"/>
  <c r="AD68" i="2" s="1"/>
  <c r="AA56" i="2"/>
  <c r="AA68" i="2" s="1"/>
  <c r="X56" i="2"/>
  <c r="X68" i="2" s="1"/>
  <c r="V55" i="2"/>
  <c r="AI52" i="2"/>
  <c r="AJ52" i="2" s="1"/>
  <c r="AK52" i="2" s="1"/>
  <c r="AL52" i="2" s="1"/>
  <c r="AM52" i="2" s="1"/>
  <c r="AN52" i="2" s="1"/>
  <c r="AO52" i="2" s="1"/>
  <c r="AP52" i="2" s="1"/>
  <c r="AQ52" i="2" s="1"/>
  <c r="AR52" i="2" s="1"/>
  <c r="AS52" i="2" s="1"/>
  <c r="AT52" i="2" s="1"/>
  <c r="AU52" i="2" s="1"/>
  <c r="AV52" i="2" s="1"/>
  <c r="AW52" i="2" s="1"/>
  <c r="AX52" i="2" s="1"/>
  <c r="AY52" i="2" s="1"/>
  <c r="AZ52" i="2" s="1"/>
  <c r="BA52" i="2" s="1"/>
  <c r="AG52" i="2"/>
  <c r="AF52" i="2"/>
  <c r="AD52" i="2"/>
  <c r="X52" i="2"/>
  <c r="W50" i="2"/>
  <c r="V50" i="2"/>
  <c r="V53" i="2" s="1"/>
  <c r="V59" i="2" s="1"/>
  <c r="V71" i="2" s="1"/>
  <c r="AQ49" i="2"/>
  <c r="AP49" i="2"/>
  <c r="AI49" i="2"/>
  <c r="W48" i="2"/>
  <c r="V48" i="2"/>
  <c r="AP23" i="2"/>
  <c r="L17" i="2"/>
  <c r="H5" i="2"/>
  <c r="AL5" i="2" s="1"/>
  <c r="AS4" i="2"/>
  <c r="AI4" i="2"/>
  <c r="AI2" i="2" s="1"/>
  <c r="Y4" i="2"/>
  <c r="BA3" i="2"/>
  <c r="AQ3" i="2"/>
  <c r="AG3" i="2"/>
  <c r="BA2" i="2"/>
  <c r="BA49" i="2" s="1"/>
  <c r="AZ2" i="2"/>
  <c r="AZ49" i="2" s="1"/>
  <c r="AX2" i="2"/>
  <c r="AX49" i="2" s="1"/>
  <c r="AS2" i="2"/>
  <c r="AS49" i="2" s="1"/>
  <c r="AQ2" i="2"/>
  <c r="AP2" i="2"/>
  <c r="AN2" i="2"/>
  <c r="AN49" i="2" s="1"/>
  <c r="AG2" i="2"/>
  <c r="AG49" i="2" s="1"/>
  <c r="AF2" i="2"/>
  <c r="AF49" i="2" s="1"/>
  <c r="AD2" i="2"/>
  <c r="AD49" i="2" s="1"/>
  <c r="Y2" i="2"/>
  <c r="Y49" i="2" s="1"/>
  <c r="W2" i="2"/>
  <c r="W49" i="2" s="1"/>
  <c r="AL2" i="2" l="1"/>
  <c r="AL49" i="2" s="1"/>
  <c r="V60" i="2"/>
  <c r="AC68" i="2"/>
  <c r="AB5" i="2"/>
  <c r="W53" i="2"/>
  <c r="W59" i="2" s="1"/>
  <c r="W81" i="2"/>
  <c r="W71" i="2"/>
  <c r="AV5" i="2"/>
  <c r="AK6" i="2"/>
  <c r="H6" i="2"/>
  <c r="AI48" i="2"/>
  <c r="AI50" i="2" s="1"/>
  <c r="AI68" i="2"/>
  <c r="AJ56" i="2"/>
  <c r="P35" i="5"/>
  <c r="AJ68" i="2" l="1"/>
  <c r="AK56" i="2"/>
  <c r="AI53" i="2"/>
  <c r="AI59" i="2" s="1"/>
  <c r="AI81" i="2"/>
  <c r="AI71" i="2"/>
  <c r="AU6" i="2"/>
  <c r="H7" i="2"/>
  <c r="AA6" i="2"/>
  <c r="W55" i="2"/>
  <c r="V72" i="2"/>
  <c r="W77" i="2" s="1"/>
  <c r="W79" i="2" s="1"/>
  <c r="W82" i="2" s="1"/>
  <c r="AB2" i="2"/>
  <c r="AB49" i="2" s="1"/>
  <c r="AK2" i="2"/>
  <c r="AK49" i="2" s="1"/>
  <c r="AV2" i="2"/>
  <c r="AV49" i="2" s="1"/>
  <c r="W57" i="2" l="1"/>
  <c r="W60" i="2" s="1"/>
  <c r="X55" i="2" s="1"/>
  <c r="X57" i="2" s="1"/>
  <c r="W67" i="2"/>
  <c r="W69" i="2" s="1"/>
  <c r="W72" i="2" s="1"/>
  <c r="AA2" i="2"/>
  <c r="AA49" i="2" s="1"/>
  <c r="AW7" i="2"/>
  <c r="H8" i="2"/>
  <c r="AM7" i="2"/>
  <c r="AC7" i="2"/>
  <c r="AU2" i="2"/>
  <c r="AU49" i="2" s="1"/>
  <c r="AL56" i="2"/>
  <c r="AK68" i="2"/>
  <c r="AL68" i="2" l="1"/>
  <c r="AM56" i="2"/>
  <c r="AM2" i="2"/>
  <c r="AM49" i="2" s="1"/>
  <c r="AM48" i="2"/>
  <c r="AM50" i="2" s="1"/>
  <c r="AW2" i="2"/>
  <c r="AW49" i="2" s="1"/>
  <c r="AC2" i="2"/>
  <c r="AC49" i="2" s="1"/>
  <c r="H9" i="2"/>
  <c r="AR8" i="2"/>
  <c r="X8" i="2"/>
  <c r="AH8" i="2"/>
  <c r="X67" i="2"/>
  <c r="X69" i="2" s="1"/>
  <c r="X77" i="2"/>
  <c r="X79" i="2" s="1"/>
  <c r="AH48" i="2" l="1"/>
  <c r="AH50" i="2" s="1"/>
  <c r="AH2" i="2"/>
  <c r="AH49" i="2" s="1"/>
  <c r="AY9" i="2"/>
  <c r="AE9" i="2"/>
  <c r="H11" i="2"/>
  <c r="AO9" i="2"/>
  <c r="X48" i="2"/>
  <c r="X50" i="2" s="1"/>
  <c r="X2" i="2"/>
  <c r="X49" i="2" s="1"/>
  <c r="AM81" i="2"/>
  <c r="AM71" i="2"/>
  <c r="AM53" i="2"/>
  <c r="AM59" i="2" s="1"/>
  <c r="AN56" i="2"/>
  <c r="AM68" i="2"/>
  <c r="AR2" i="2"/>
  <c r="AR49" i="2" s="1"/>
  <c r="X81" i="2" l="1"/>
  <c r="X82" i="2" s="1"/>
  <c r="X71" i="2"/>
  <c r="X72" i="2" s="1"/>
  <c r="X53" i="2"/>
  <c r="X59" i="2" s="1"/>
  <c r="X60" i="2" s="1"/>
  <c r="Y55" i="2" s="1"/>
  <c r="Y57" i="2" s="1"/>
  <c r="AY2" i="2"/>
  <c r="AY49" i="2" s="1"/>
  <c r="AO2" i="2"/>
  <c r="AO49" i="2" s="1"/>
  <c r="AT11" i="2"/>
  <c r="H16" i="2"/>
  <c r="AJ11" i="2"/>
  <c r="Z11" i="2"/>
  <c r="AE2" i="2"/>
  <c r="AE49" i="2" s="1"/>
  <c r="AN68" i="2"/>
  <c r="AO56" i="2"/>
  <c r="AH53" i="2"/>
  <c r="AH59" i="2" s="1"/>
  <c r="AH71" i="2"/>
  <c r="AH81" i="2"/>
  <c r="AJ2" i="2" l="1"/>
  <c r="AJ49" i="2" s="1"/>
  <c r="AL16" i="2"/>
  <c r="AV16" i="2"/>
  <c r="AB16" i="2"/>
  <c r="H17" i="2"/>
  <c r="AT2" i="2"/>
  <c r="AT49" i="2" s="1"/>
  <c r="AP56" i="2"/>
  <c r="AO68" i="2"/>
  <c r="Y67" i="2"/>
  <c r="Y69" i="2" s="1"/>
  <c r="Y77" i="2"/>
  <c r="Y79" i="2" s="1"/>
  <c r="Z2" i="2"/>
  <c r="Z49" i="2" s="1"/>
  <c r="AP68" i="2" l="1"/>
  <c r="AQ56" i="2"/>
  <c r="H19" i="2"/>
  <c r="AZ17" i="2"/>
  <c r="AF17" i="2"/>
  <c r="AP17" i="2"/>
  <c r="AP48" i="2" s="1"/>
  <c r="AP50" i="2" s="1"/>
  <c r="AP53" i="2" l="1"/>
  <c r="AP59" i="2" s="1"/>
  <c r="AP81" i="2"/>
  <c r="AP71" i="2"/>
  <c r="AL19" i="2"/>
  <c r="AL48" i="2" s="1"/>
  <c r="AL50" i="2" s="1"/>
  <c r="AC19" i="2"/>
  <c r="AC48" i="2" s="1"/>
  <c r="AC50" i="2" s="1"/>
  <c r="H20" i="2"/>
  <c r="AV19" i="2"/>
  <c r="AQ68" i="2"/>
  <c r="AR56" i="2"/>
  <c r="AC81" i="2" l="1"/>
  <c r="AC71" i="2"/>
  <c r="AC53" i="2"/>
  <c r="AC59" i="2" s="1"/>
  <c r="AS56" i="2"/>
  <c r="AR68" i="2"/>
  <c r="AG20" i="2"/>
  <c r="H21" i="2"/>
  <c r="BA20" i="2"/>
  <c r="AQ20" i="2"/>
  <c r="AL53" i="2"/>
  <c r="AL59" i="2" s="1"/>
  <c r="AL71" i="2"/>
  <c r="AL81" i="2"/>
  <c r="Z21" i="2" l="1"/>
  <c r="AT21" i="2"/>
  <c r="AJ21" i="2"/>
  <c r="H23" i="2"/>
  <c r="AS68" i="2"/>
  <c r="AT56" i="2"/>
  <c r="AU56" i="2" l="1"/>
  <c r="AT68" i="2"/>
  <c r="AF23" i="2"/>
  <c r="H25" i="2"/>
  <c r="AZ23" i="2"/>
  <c r="AU68" i="2" l="1"/>
  <c r="AV56" i="2"/>
  <c r="L25" i="2"/>
  <c r="H26" i="2"/>
  <c r="AT26" i="2" l="1"/>
  <c r="AT48" i="2" s="1"/>
  <c r="AT50" i="2" s="1"/>
  <c r="AJ26" i="2"/>
  <c r="H28" i="2"/>
  <c r="Z26" i="2"/>
  <c r="Z48" i="2" s="1"/>
  <c r="Z50" i="2" s="1"/>
  <c r="AV68" i="2"/>
  <c r="AW56" i="2"/>
  <c r="AX56" i="2" l="1"/>
  <c r="AW68" i="2"/>
  <c r="Z53" i="2"/>
  <c r="Z59" i="2" s="1"/>
  <c r="Z71" i="2"/>
  <c r="Z81" i="2"/>
  <c r="H29" i="2"/>
  <c r="BA28" i="2"/>
  <c r="BA48" i="2" s="1"/>
  <c r="BA50" i="2" s="1"/>
  <c r="AQ28" i="2"/>
  <c r="AG28" i="2"/>
  <c r="AT53" i="2"/>
  <c r="AT59" i="2" s="1"/>
  <c r="AT81" i="2"/>
  <c r="AT71" i="2"/>
  <c r="BA81" i="2" l="1"/>
  <c r="BA71" i="2"/>
  <c r="BA53" i="2"/>
  <c r="BA59" i="2" s="1"/>
  <c r="AX29" i="2"/>
  <c r="AX48" i="2" s="1"/>
  <c r="AX50" i="2" s="1"/>
  <c r="AN29" i="2"/>
  <c r="AN48" i="2" s="1"/>
  <c r="AN50" i="2" s="1"/>
  <c r="AD29" i="2"/>
  <c r="H30" i="2"/>
  <c r="AX68" i="2"/>
  <c r="AY56" i="2"/>
  <c r="AN81" i="2" l="1"/>
  <c r="AN71" i="2"/>
  <c r="AN53" i="2"/>
  <c r="AN59" i="2" s="1"/>
  <c r="AZ56" i="2"/>
  <c r="AY68" i="2"/>
  <c r="AV30" i="2"/>
  <c r="AV48" i="2" s="1"/>
  <c r="AV50" i="2" s="1"/>
  <c r="H32" i="2"/>
  <c r="AK30" i="2"/>
  <c r="AA30" i="2"/>
  <c r="AA48" i="2" s="1"/>
  <c r="AA50" i="2" s="1"/>
  <c r="AX53" i="2"/>
  <c r="AX59" i="2" s="1"/>
  <c r="AX71" i="2"/>
  <c r="AX81" i="2"/>
  <c r="AV81" i="2" l="1"/>
  <c r="AV71" i="2"/>
  <c r="AV53" i="2"/>
  <c r="AV59" i="2" s="1"/>
  <c r="AW32" i="2"/>
  <c r="AW48" i="2" s="1"/>
  <c r="AW50" i="2" s="1"/>
  <c r="AO32" i="2"/>
  <c r="AO48" i="2" s="1"/>
  <c r="AO50" i="2" s="1"/>
  <c r="H33" i="2"/>
  <c r="Y32" i="2"/>
  <c r="Y48" i="2" s="1"/>
  <c r="Y50" i="2" s="1"/>
  <c r="AG32" i="2"/>
  <c r="AG48" i="2" s="1"/>
  <c r="AG50" i="2" s="1"/>
  <c r="AZ68" i="2"/>
  <c r="BA56" i="2"/>
  <c r="BA68" i="2" s="1"/>
  <c r="AA81" i="2"/>
  <c r="AA71" i="2"/>
  <c r="AA53" i="2"/>
  <c r="AA59" i="2" s="1"/>
  <c r="AG71" i="2" l="1"/>
  <c r="AG53" i="2"/>
  <c r="AG59" i="2" s="1"/>
  <c r="AG81" i="2"/>
  <c r="Y53" i="2"/>
  <c r="Y59" i="2" s="1"/>
  <c r="Y60" i="2" s="1"/>
  <c r="Z55" i="2" s="1"/>
  <c r="Z57" i="2" s="1"/>
  <c r="Z60" i="2" s="1"/>
  <c r="AA55" i="2" s="1"/>
  <c r="AA57" i="2" s="1"/>
  <c r="AA60" i="2" s="1"/>
  <c r="AB55" i="2" s="1"/>
  <c r="AB57" i="2" s="1"/>
  <c r="Y71" i="2"/>
  <c r="Y72" i="2" s="1"/>
  <c r="Y81" i="2"/>
  <c r="Y82" i="2" s="1"/>
  <c r="AJ33" i="2"/>
  <c r="H34" i="2"/>
  <c r="H36" i="2" s="1"/>
  <c r="AZ33" i="2"/>
  <c r="AR33" i="2"/>
  <c r="AR48" i="2" s="1"/>
  <c r="AR50" i="2" s="1"/>
  <c r="AB33" i="2"/>
  <c r="AO81" i="2"/>
  <c r="AO71" i="2"/>
  <c r="AO53" i="2"/>
  <c r="AO59" i="2" s="1"/>
  <c r="AW53" i="2"/>
  <c r="AW59" i="2" s="1"/>
  <c r="AW71" i="2"/>
  <c r="AW81" i="2"/>
  <c r="AR81" i="2" l="1"/>
  <c r="AR71" i="2"/>
  <c r="AR53" i="2"/>
  <c r="AR59" i="2" s="1"/>
  <c r="AE36" i="2"/>
  <c r="H37" i="2"/>
  <c r="AU36" i="2"/>
  <c r="Z77" i="2"/>
  <c r="Z79" i="2" s="1"/>
  <c r="Z82" i="2" s="1"/>
  <c r="Z67" i="2"/>
  <c r="Z69" i="2" s="1"/>
  <c r="Z72" i="2" s="1"/>
  <c r="AA77" i="2" l="1"/>
  <c r="AA79" i="2" s="1"/>
  <c r="AA82" i="2" s="1"/>
  <c r="AA67" i="2"/>
  <c r="AA69" i="2" s="1"/>
  <c r="AA72" i="2" s="1"/>
  <c r="AS37" i="2"/>
  <c r="AS48" i="2" s="1"/>
  <c r="AS50" i="2" s="1"/>
  <c r="AD37" i="2"/>
  <c r="AD48" i="2" s="1"/>
  <c r="AD50" i="2" s="1"/>
  <c r="H38" i="2"/>
  <c r="AD53" i="2" l="1"/>
  <c r="AD59" i="2" s="1"/>
  <c r="AD71" i="2"/>
  <c r="AD81" i="2"/>
  <c r="AU38" i="2"/>
  <c r="AU48" i="2" s="1"/>
  <c r="AU50" i="2" s="1"/>
  <c r="H39" i="2"/>
  <c r="AE38" i="2"/>
  <c r="AE48" i="2" s="1"/>
  <c r="AE50" i="2" s="1"/>
  <c r="AS81" i="2"/>
  <c r="AS53" i="2"/>
  <c r="AS59" i="2" s="1"/>
  <c r="AS71" i="2"/>
  <c r="AB67" i="2"/>
  <c r="AB69" i="2" s="1"/>
  <c r="AB77" i="2"/>
  <c r="AB79" i="2" s="1"/>
  <c r="AE81" i="2" l="1"/>
  <c r="AE71" i="2"/>
  <c r="AE53" i="2"/>
  <c r="AE59" i="2" s="1"/>
  <c r="H40" i="2"/>
  <c r="AY39" i="2"/>
  <c r="AY48" i="2" s="1"/>
  <c r="AY50" i="2" s="1"/>
  <c r="AJ39" i="2"/>
  <c r="AJ48" i="2" s="1"/>
  <c r="AJ50" i="2" s="1"/>
  <c r="AU53" i="2"/>
  <c r="AU59" i="2" s="1"/>
  <c r="AU81" i="2"/>
  <c r="AU71" i="2"/>
  <c r="AJ81" i="2" l="1"/>
  <c r="AJ71" i="2"/>
  <c r="AJ53" i="2"/>
  <c r="AJ59" i="2" s="1"/>
  <c r="H41" i="2"/>
  <c r="AQ40" i="2"/>
  <c r="AB40" i="2"/>
  <c r="AB48" i="2" s="1"/>
  <c r="AB50" i="2" s="1"/>
  <c r="AY81" i="2"/>
  <c r="AY71" i="2"/>
  <c r="AY53" i="2"/>
  <c r="AY59" i="2" s="1"/>
  <c r="AB81" i="2" l="1"/>
  <c r="AB82" i="2" s="1"/>
  <c r="AC77" i="2" s="1"/>
  <c r="AC79" i="2" s="1"/>
  <c r="AC82" i="2" s="1"/>
  <c r="AD77" i="2" s="1"/>
  <c r="AD79" i="2" s="1"/>
  <c r="AD82" i="2" s="1"/>
  <c r="AE77" i="2" s="1"/>
  <c r="AE79" i="2" s="1"/>
  <c r="AE82" i="2" s="1"/>
  <c r="AF77" i="2" s="1"/>
  <c r="AF79" i="2" s="1"/>
  <c r="AB71" i="2"/>
  <c r="AB72" i="2" s="1"/>
  <c r="AC67" i="2" s="1"/>
  <c r="AC69" i="2" s="1"/>
  <c r="AC72" i="2" s="1"/>
  <c r="AD67" i="2" s="1"/>
  <c r="AD69" i="2" s="1"/>
  <c r="AD72" i="2" s="1"/>
  <c r="AE67" i="2" s="1"/>
  <c r="AE69" i="2" s="1"/>
  <c r="AE72" i="2" s="1"/>
  <c r="AF67" i="2" s="1"/>
  <c r="AF69" i="2" s="1"/>
  <c r="AB53" i="2"/>
  <c r="AB59" i="2" s="1"/>
  <c r="AB60" i="2" s="1"/>
  <c r="AC55" i="2" s="1"/>
  <c r="AC57" i="2" s="1"/>
  <c r="AC60" i="2" s="1"/>
  <c r="AD55" i="2" s="1"/>
  <c r="AD57" i="2" s="1"/>
  <c r="AD60" i="2" s="1"/>
  <c r="AE55" i="2" s="1"/>
  <c r="AE57" i="2" s="1"/>
  <c r="AE60" i="2" s="1"/>
  <c r="AF55" i="2" s="1"/>
  <c r="AF57" i="2" s="1"/>
  <c r="AZ41" i="2"/>
  <c r="AK41" i="2"/>
  <c r="AK48" i="2" s="1"/>
  <c r="AK50" i="2" s="1"/>
  <c r="H14" i="2"/>
  <c r="AZ14" i="2" l="1"/>
  <c r="AZ48" i="2" s="1"/>
  <c r="AZ50" i="2" s="1"/>
  <c r="AF14" i="2"/>
  <c r="AF48" i="2" s="1"/>
  <c r="AF50" i="2" s="1"/>
  <c r="H13" i="2"/>
  <c r="AQ13" i="2" s="1"/>
  <c r="AQ48" i="2" s="1"/>
  <c r="AQ50" i="2" s="1"/>
  <c r="AK53" i="2"/>
  <c r="AK59" i="2" s="1"/>
  <c r="AK71" i="2"/>
  <c r="AK81" i="2"/>
  <c r="AQ81" i="2" l="1"/>
  <c r="AQ71" i="2"/>
  <c r="AQ53" i="2"/>
  <c r="AQ59" i="2" s="1"/>
  <c r="AF81" i="2"/>
  <c r="AF82" i="2" s="1"/>
  <c r="AG77" i="2" s="1"/>
  <c r="AG79" i="2" s="1"/>
  <c r="AG82" i="2" s="1"/>
  <c r="AH77" i="2" s="1"/>
  <c r="AH79" i="2" s="1"/>
  <c r="AH82" i="2" s="1"/>
  <c r="AI77" i="2" s="1"/>
  <c r="AI79" i="2" s="1"/>
  <c r="AI82" i="2" s="1"/>
  <c r="AJ77" i="2" s="1"/>
  <c r="AJ79" i="2" s="1"/>
  <c r="AJ82" i="2" s="1"/>
  <c r="AK77" i="2" s="1"/>
  <c r="AK79" i="2" s="1"/>
  <c r="AK82" i="2" s="1"/>
  <c r="AL77" i="2" s="1"/>
  <c r="AL79" i="2" s="1"/>
  <c r="AL82" i="2" s="1"/>
  <c r="AM77" i="2" s="1"/>
  <c r="AM79" i="2" s="1"/>
  <c r="AM82" i="2" s="1"/>
  <c r="AN77" i="2" s="1"/>
  <c r="AN79" i="2" s="1"/>
  <c r="AN82" i="2" s="1"/>
  <c r="AO77" i="2" s="1"/>
  <c r="AO79" i="2" s="1"/>
  <c r="AO82" i="2" s="1"/>
  <c r="AP77" i="2" s="1"/>
  <c r="AP79" i="2" s="1"/>
  <c r="AP82" i="2" s="1"/>
  <c r="AQ77" i="2" s="1"/>
  <c r="AQ79" i="2" s="1"/>
  <c r="AQ82" i="2" s="1"/>
  <c r="AR77" i="2" s="1"/>
  <c r="AR79" i="2" s="1"/>
  <c r="AR82" i="2" s="1"/>
  <c r="AS77" i="2" s="1"/>
  <c r="AS79" i="2" s="1"/>
  <c r="AS82" i="2" s="1"/>
  <c r="AT77" i="2" s="1"/>
  <c r="AT79" i="2" s="1"/>
  <c r="AT82" i="2" s="1"/>
  <c r="AU77" i="2" s="1"/>
  <c r="AU79" i="2" s="1"/>
  <c r="AU82" i="2" s="1"/>
  <c r="AV77" i="2" s="1"/>
  <c r="AV79" i="2" s="1"/>
  <c r="AV82" i="2" s="1"/>
  <c r="AW77" i="2" s="1"/>
  <c r="AW79" i="2" s="1"/>
  <c r="AW82" i="2" s="1"/>
  <c r="AX77" i="2" s="1"/>
  <c r="AX79" i="2" s="1"/>
  <c r="AX82" i="2" s="1"/>
  <c r="AY77" i="2" s="1"/>
  <c r="AY79" i="2" s="1"/>
  <c r="AY82" i="2" s="1"/>
  <c r="AZ77" i="2" s="1"/>
  <c r="AZ79" i="2" s="1"/>
  <c r="AZ82" i="2" s="1"/>
  <c r="BA77" i="2" s="1"/>
  <c r="BA79" i="2" s="1"/>
  <c r="BA82" i="2" s="1"/>
  <c r="AF71" i="2"/>
  <c r="AF72" i="2" s="1"/>
  <c r="AG67" i="2" s="1"/>
  <c r="AG69" i="2" s="1"/>
  <c r="AG72" i="2" s="1"/>
  <c r="AH67" i="2" s="1"/>
  <c r="AH69" i="2" s="1"/>
  <c r="AH72" i="2" s="1"/>
  <c r="AI67" i="2" s="1"/>
  <c r="AI69" i="2" s="1"/>
  <c r="AI72" i="2" s="1"/>
  <c r="AJ67" i="2" s="1"/>
  <c r="AJ69" i="2" s="1"/>
  <c r="AJ72" i="2" s="1"/>
  <c r="AK67" i="2" s="1"/>
  <c r="AK69" i="2" s="1"/>
  <c r="AK72" i="2" s="1"/>
  <c r="AL67" i="2" s="1"/>
  <c r="AL69" i="2" s="1"/>
  <c r="AL72" i="2" s="1"/>
  <c r="AM67" i="2" s="1"/>
  <c r="AM69" i="2" s="1"/>
  <c r="AM72" i="2" s="1"/>
  <c r="AN67" i="2" s="1"/>
  <c r="AN69" i="2" s="1"/>
  <c r="AN72" i="2" s="1"/>
  <c r="AO67" i="2" s="1"/>
  <c r="AO69" i="2" s="1"/>
  <c r="AO72" i="2" s="1"/>
  <c r="AP67" i="2" s="1"/>
  <c r="AP69" i="2" s="1"/>
  <c r="AP72" i="2" s="1"/>
  <c r="AQ67" i="2" s="1"/>
  <c r="AQ69" i="2" s="1"/>
  <c r="AQ72" i="2" s="1"/>
  <c r="AR67" i="2" s="1"/>
  <c r="AR69" i="2" s="1"/>
  <c r="AR72" i="2" s="1"/>
  <c r="AS67" i="2" s="1"/>
  <c r="AS69" i="2" s="1"/>
  <c r="AS72" i="2" s="1"/>
  <c r="AT67" i="2" s="1"/>
  <c r="AT69" i="2" s="1"/>
  <c r="AT72" i="2" s="1"/>
  <c r="AU67" i="2" s="1"/>
  <c r="AU69" i="2" s="1"/>
  <c r="AU72" i="2" s="1"/>
  <c r="AV67" i="2" s="1"/>
  <c r="AV69" i="2" s="1"/>
  <c r="AV72" i="2" s="1"/>
  <c r="AW67" i="2" s="1"/>
  <c r="AW69" i="2" s="1"/>
  <c r="AW72" i="2" s="1"/>
  <c r="AX67" i="2" s="1"/>
  <c r="AX69" i="2" s="1"/>
  <c r="AX72" i="2" s="1"/>
  <c r="AY67" i="2" s="1"/>
  <c r="AY69" i="2" s="1"/>
  <c r="AY72" i="2" s="1"/>
  <c r="AZ67" i="2" s="1"/>
  <c r="AZ69" i="2" s="1"/>
  <c r="AZ72" i="2" s="1"/>
  <c r="BA67" i="2" s="1"/>
  <c r="BA69" i="2" s="1"/>
  <c r="BA72" i="2" s="1"/>
  <c r="AF53" i="2"/>
  <c r="AF59" i="2" s="1"/>
  <c r="AF60" i="2" s="1"/>
  <c r="AG55" i="2" s="1"/>
  <c r="AG57" i="2" s="1"/>
  <c r="AG60" i="2" s="1"/>
  <c r="AH55" i="2" s="1"/>
  <c r="AH57" i="2" s="1"/>
  <c r="AH60" i="2" s="1"/>
  <c r="AI55" i="2" s="1"/>
  <c r="AI57" i="2" s="1"/>
  <c r="AI60" i="2" s="1"/>
  <c r="AJ55" i="2" s="1"/>
  <c r="AJ57" i="2" s="1"/>
  <c r="AJ60" i="2" s="1"/>
  <c r="AK55" i="2" s="1"/>
  <c r="AK57" i="2" s="1"/>
  <c r="AK60" i="2" s="1"/>
  <c r="AL55" i="2" s="1"/>
  <c r="AL57" i="2" s="1"/>
  <c r="AL60" i="2" s="1"/>
  <c r="AM55" i="2" s="1"/>
  <c r="AM57" i="2" s="1"/>
  <c r="AM60" i="2" s="1"/>
  <c r="AN55" i="2" s="1"/>
  <c r="AN57" i="2" s="1"/>
  <c r="AN60" i="2" s="1"/>
  <c r="AO55" i="2" s="1"/>
  <c r="AO57" i="2" s="1"/>
  <c r="AO60" i="2" s="1"/>
  <c r="AP55" i="2" s="1"/>
  <c r="AP57" i="2" s="1"/>
  <c r="AP60" i="2" s="1"/>
  <c r="AQ55" i="2" s="1"/>
  <c r="AQ57" i="2" s="1"/>
  <c r="AQ60" i="2" s="1"/>
  <c r="AR55" i="2" s="1"/>
  <c r="AR57" i="2" s="1"/>
  <c r="AR60" i="2" s="1"/>
  <c r="AS55" i="2" s="1"/>
  <c r="AS57" i="2" s="1"/>
  <c r="AS60" i="2" s="1"/>
  <c r="AT55" i="2" s="1"/>
  <c r="AT57" i="2" s="1"/>
  <c r="AT60" i="2" s="1"/>
  <c r="AU55" i="2" s="1"/>
  <c r="AU57" i="2" s="1"/>
  <c r="AU60" i="2" s="1"/>
  <c r="AV55" i="2" s="1"/>
  <c r="AV57" i="2" s="1"/>
  <c r="AV60" i="2" s="1"/>
  <c r="AW55" i="2" s="1"/>
  <c r="AW57" i="2" s="1"/>
  <c r="AW60" i="2" s="1"/>
  <c r="AX55" i="2" s="1"/>
  <c r="AX57" i="2" s="1"/>
  <c r="AX60" i="2" s="1"/>
  <c r="AY55" i="2" s="1"/>
  <c r="AY57" i="2" s="1"/>
  <c r="AY60" i="2" s="1"/>
  <c r="AZ55" i="2" s="1"/>
  <c r="AZ57" i="2" s="1"/>
  <c r="AZ60" i="2" s="1"/>
  <c r="BA55" i="2" s="1"/>
  <c r="BA57" i="2" s="1"/>
  <c r="BA60" i="2" s="1"/>
  <c r="AZ81" i="2"/>
  <c r="AZ71" i="2"/>
  <c r="AZ53" i="2"/>
  <c r="AZ5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Russell</author>
    <author>Eric Slosek</author>
  </authors>
  <commentList>
    <comment ref="O1" authorId="0" shapeId="0" xr:uid="{00000000-0006-0000-0100-000001000000}">
      <text>
        <r>
          <rPr>
            <sz val="11"/>
            <color indexed="8"/>
            <rFont val="Helvetica Neue"/>
          </rPr>
          <t>Thomas Russell:
Confirm this column is verified</t>
        </r>
      </text>
    </comment>
    <comment ref="W13" authorId="0" shapeId="0" xr:uid="{00000000-0006-0000-0100-000002000000}">
      <text>
        <r>
          <rPr>
            <sz val="11"/>
            <color indexed="8"/>
            <rFont val="Helvetica Neue"/>
          </rPr>
          <t>Thomas Russell:
 Purchase Price $271 for a new USED machine.   $68k ARPA allocation, $113k Road Block Grant (2022) = $181K requires $90k from budget to complete purchase</t>
        </r>
      </text>
    </comment>
    <comment ref="A14" authorId="0" shapeId="0" xr:uid="{00000000-0006-0000-0100-000003000000}">
      <text>
        <r>
          <rPr>
            <sz val="11"/>
            <color indexed="8"/>
            <rFont val="Helvetica Neue"/>
          </rPr>
          <t>Thomas Russell:
Grader has been on its last legs for quite a while.  Once viewed as a one time purchase, it is still needed because of the 12 miles of unpaved roads in the town.</t>
        </r>
      </text>
    </comment>
    <comment ref="V14" authorId="1" shapeId="0" xr:uid="{00000000-0006-0000-0100-000004000000}">
      <text>
        <r>
          <rPr>
            <sz val="11"/>
            <color indexed="8"/>
            <rFont val="Helvetica Neue"/>
          </rPr>
          <t>Eric Slosek:
Purchased grader from Chapell Tractor January 2023.  Paid $70K from Extra Bloc Grant funds, received $20K value for old grader trade-in.  Total purchase price = $90K. This was a used machine.</t>
        </r>
      </text>
    </comment>
    <comment ref="V17" authorId="0" shapeId="0" xr:uid="{00000000-0006-0000-0100-000005000000}">
      <text>
        <r>
          <rPr>
            <sz val="11"/>
            <color indexed="8"/>
            <rFont val="Helvetica Neue"/>
          </rPr>
          <t xml:space="preserve">Thomas Russell:
Gross price 159,855 - $32K trade in, plus brush grapple $24,360 = </t>
        </r>
      </text>
    </comment>
    <comment ref="W20" authorId="0" shapeId="0" xr:uid="{00000000-0006-0000-0100-000006000000}">
      <text>
        <r>
          <rPr>
            <sz val="11"/>
            <color indexed="8"/>
            <rFont val="Helvetica Neue"/>
          </rPr>
          <t>Thomas Russell:
Includes a sander for a new F350</t>
        </r>
      </text>
    </comment>
    <comment ref="L21" authorId="0" shapeId="0" xr:uid="{00000000-0006-0000-0100-000007000000}">
      <text>
        <r>
          <rPr>
            <sz val="11"/>
            <color indexed="8"/>
            <rFont val="Helvetica Neue"/>
          </rPr>
          <t>Thomas Russell:
Estimated nest purchase price including sander.   This needs to be updated when Truck 12 and sander purchase is completed.</t>
        </r>
      </text>
    </comment>
    <comment ref="V23" authorId="0" shapeId="0" xr:uid="{00000000-0006-0000-0100-000008000000}">
      <text>
        <r>
          <rPr>
            <sz val="11"/>
            <color indexed="8"/>
            <rFont val="Helvetica Neue"/>
          </rPr>
          <t>Thomas Russell:
Replacing F250 with a Chevy Colorado.   Single vehicle type. 4X4 crew cab. Significantly less expensive.  $23.580 is after trade in value of older F250</t>
        </r>
      </text>
    </comment>
    <comment ref="R25" authorId="0" shapeId="0" xr:uid="{00000000-0006-0000-0100-000009000000}">
      <text>
        <r>
          <rPr>
            <sz val="11"/>
            <color indexed="8"/>
            <rFont val="Helvetica Neue"/>
          </rPr>
          <t>Thomas Russell:
No banger shared with REC, eliminated from calculations</t>
        </r>
      </text>
    </comment>
    <comment ref="AC25" authorId="0" shapeId="0" xr:uid="{00000000-0006-0000-0100-00000A000000}">
      <text>
        <r>
          <rPr>
            <sz val="11"/>
            <color indexed="8"/>
            <rFont val="Helvetica Neue"/>
          </rPr>
          <t>Thomas Russell:
No banger shared with REC, eliminated from calculations</t>
        </r>
      </text>
    </comment>
    <comment ref="AM25" authorId="0" shapeId="0" xr:uid="{00000000-0006-0000-0100-00000B000000}">
      <text>
        <r>
          <rPr>
            <sz val="11"/>
            <color indexed="8"/>
            <rFont val="Helvetica Neue"/>
          </rPr>
          <t>Thomas Russell:
No banger shared with REC, eliminated from calculations</t>
        </r>
      </text>
    </comment>
    <comment ref="AW25" authorId="0" shapeId="0" xr:uid="{00000000-0006-0000-0100-00000C000000}">
      <text>
        <r>
          <rPr>
            <sz val="11"/>
            <color indexed="8"/>
            <rFont val="Helvetica Neue"/>
          </rPr>
          <t>Thomas Russell:
No banger shared with REC, eliminated from calculations</t>
        </r>
      </text>
    </comment>
    <comment ref="L26" authorId="0" shapeId="0" xr:uid="{00000000-0006-0000-0100-00000D000000}">
      <text>
        <r>
          <rPr>
            <sz val="11"/>
            <color indexed="8"/>
            <rFont val="Helvetica Neue"/>
          </rPr>
          <t>Thomas Russell:
Estimated purchase price of truck WITHOUT a trade in since we are replacing a shared truck.  Plan is for Rec to keep the existing 2017 F550 and DPW will purchase this IH new - NOT to be shared.</t>
        </r>
      </text>
    </comment>
    <comment ref="O26" authorId="0" shapeId="0" xr:uid="{00000000-0006-0000-0100-00000E000000}">
      <text>
        <r>
          <rPr>
            <sz val="11"/>
            <color indexed="8"/>
            <rFont val="Helvetica Neue"/>
          </rPr>
          <t>Thomas Russell:
Shared with REC, therefore only half of of Purchase Price is in this budget</t>
        </r>
      </text>
    </comment>
    <comment ref="Z26" authorId="1" shapeId="0" xr:uid="{00000000-0006-0000-0100-00000F000000}">
      <text>
        <r>
          <rPr>
            <sz val="11"/>
            <color indexed="8"/>
            <rFont val="Helvetica Neue"/>
          </rPr>
          <t>Eric Slosek:
Represents the ENTIRE purchase cost.  NO LONGER SHARED with REC.</t>
        </r>
      </text>
    </comment>
    <comment ref="A32" authorId="0" shapeId="0" xr:uid="{00000000-0006-0000-0100-000010000000}">
      <text>
        <r>
          <rPr>
            <sz val="11"/>
            <color indexed="8"/>
            <rFont val="Helvetica Neue"/>
          </rPr>
          <t>Thomas Russell:
Mowers after FY 2023 priced at $11K and a useful life of 8 years.   Last purchase was in 2020 for  just under $10K.
Useful life is now estimated at 8 years due to historically hard use.</t>
        </r>
      </text>
    </comment>
    <comment ref="W34" authorId="0" shapeId="0" xr:uid="{00000000-0006-0000-0100-000012000000}">
      <text>
        <r>
          <rPr>
            <sz val="11"/>
            <color indexed="8"/>
            <rFont val="Helvetica Neue"/>
          </rPr>
          <t xml:space="preserve">Thomas Russell:
Not be replaced  - due to contracted mowing cemeteries </t>
        </r>
      </text>
    </comment>
    <comment ref="AE34" authorId="0" shapeId="0" xr:uid="{00000000-0006-0000-0100-000013000000}">
      <text>
        <r>
          <rPr>
            <sz val="11"/>
            <color indexed="8"/>
            <rFont val="Helvetica Neue"/>
          </rPr>
          <t xml:space="preserve">Thomas Russell:
Not be replaced  - due to contracted mowing cemeteries </t>
        </r>
      </text>
    </comment>
    <comment ref="AM34" authorId="0" shapeId="0" xr:uid="{00000000-0006-0000-0100-000014000000}">
      <text>
        <r>
          <rPr>
            <sz val="11"/>
            <color indexed="8"/>
            <rFont val="Helvetica Neue"/>
          </rPr>
          <t xml:space="preserve">Thomas Russell:
Not be replaced  - due to contracted mowing cemeteries </t>
        </r>
      </text>
    </comment>
    <comment ref="AU34" authorId="0" shapeId="0" xr:uid="{00000000-0006-0000-0100-000015000000}">
      <text>
        <r>
          <rPr>
            <sz val="11"/>
            <color indexed="8"/>
            <rFont val="Helvetica Neue"/>
          </rPr>
          <t xml:space="preserve">Thomas Russell:
Not be replaced  - due to contracted mowing cemeteries </t>
        </r>
      </text>
    </comment>
    <comment ref="A37" authorId="0" shapeId="0" xr:uid="{00000000-0006-0000-0100-000016000000}">
      <text>
        <r>
          <rPr>
            <sz val="11"/>
            <color indexed="8"/>
            <rFont val="Helvetica Neue"/>
          </rPr>
          <t>Thomas Russell:
This item needs to be revisited when it reaches the end of its useful life.   It may be more cost effective to replace it with a generic tractor and a host of bolt on accessories.  In that way, only the tractor portion will have to be replaced as the accessories will fit any standard 3 point hitch</t>
        </r>
      </text>
    </comment>
    <comment ref="B37" authorId="0" shapeId="0" xr:uid="{00000000-0006-0000-0100-000017000000}">
      <text>
        <r>
          <rPr>
            <sz val="11"/>
            <color indexed="8"/>
            <rFont val="Helvetica Neue"/>
          </rPr>
          <t>Thomas Russell:
Trackless attachments - looking into the feasibility of replacing attachments and doing those tasks with other equipment.  Need prices to make comparison.</t>
        </r>
      </text>
    </comment>
    <comment ref="X45" authorId="0" shapeId="0" xr:uid="{00000000-0006-0000-0100-000019000000}">
      <text>
        <r>
          <rPr>
            <sz val="11"/>
            <color indexed="8"/>
            <rFont val="Helvetica Neue"/>
          </rPr>
          <t>Thomas Russell:
Sign Board</t>
        </r>
      </text>
    </comment>
    <comment ref="U49" authorId="0" shapeId="0" xr:uid="{00000000-0006-0000-0100-00001A000000}">
      <text>
        <r>
          <rPr>
            <sz val="11"/>
            <color indexed="8"/>
            <rFont val="Helvetica Neue"/>
          </rPr>
          <t>Thomas Russell:
Large trade in allowance because the old vehicle was a tandem axel and the new one is a single axel.   Subsequent trade in values will be significantly less</t>
        </r>
      </text>
    </comment>
    <comment ref="W52" authorId="1" shapeId="0" xr:uid="{00000000-0006-0000-0100-00001B000000}">
      <text>
        <r>
          <rPr>
            <sz val="11"/>
            <color indexed="8"/>
            <rFont val="Helvetica Neue"/>
          </rPr>
          <t>Eric Slosek:
The FY24 budget will be $163K.  The number in the plan remains at $180K as we have identified a $17K grant available.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Russell</author>
  </authors>
  <commentList>
    <comment ref="D2" authorId="0" shapeId="0" xr:uid="{00000000-0006-0000-0300-000001000000}">
      <text>
        <r>
          <rPr>
            <sz val="11"/>
            <color indexed="8"/>
            <rFont val="Helvetica Neue"/>
          </rPr>
          <t>Thomas Russell:
Locally manufactured from existing parts and military excess tanks.   Estimated eventual replacement cost $10K</t>
        </r>
      </text>
    </comment>
    <comment ref="A11" authorId="0" shapeId="0" xr:uid="{00000000-0006-0000-0300-000002000000}">
      <text>
        <r>
          <rPr>
            <sz val="11"/>
            <color indexed="8"/>
            <rFont val="Helvetica Neue"/>
          </rPr>
          <t>Thomas Russell:
Not intended for Replacement</t>
        </r>
      </text>
    </comment>
  </commentList>
</comments>
</file>

<file path=xl/sharedStrings.xml><?xml version="1.0" encoding="utf-8"?>
<sst xmlns="http://schemas.openxmlformats.org/spreadsheetml/2006/main" count="1711" uniqueCount="229">
  <si>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</si>
  <si>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</si>
  <si>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</si>
  <si>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</si>
  <si>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DPW Vehicles and Equipment 5 ye</t>
  </si>
  <si>
    <t>Table 1</t>
  </si>
  <si>
    <t>Vehicle / Equipment</t>
  </si>
  <si>
    <t>Type</t>
  </si>
  <si>
    <t>Model</t>
  </si>
  <si>
    <t>Model Year</t>
  </si>
  <si>
    <t>CIP Replace</t>
  </si>
  <si>
    <t>Useful Life</t>
  </si>
  <si>
    <t>Current Age</t>
  </si>
  <si>
    <t>30 yr average Inflation 2.465%</t>
  </si>
  <si>
    <t>Replacement Cost (2015 Dollars)</t>
  </si>
  <si>
    <t>Trade In / Residual Value Purchase Price12 year</t>
  </si>
  <si>
    <r>
      <rPr>
        <b/>
        <sz val="12"/>
        <color indexed="8"/>
        <rFont val="Helvetica Neue"/>
      </rPr>
      <t xml:space="preserve">Mileage/ </t>
    </r>
    <r>
      <rPr>
        <b/>
        <i/>
        <sz val="12"/>
        <color indexed="8"/>
        <rFont val="Helvetica Neue"/>
      </rPr>
      <t>Hours</t>
    </r>
  </si>
  <si>
    <t>Recent Net Purchase Price</t>
  </si>
  <si>
    <t>FY 15</t>
  </si>
  <si>
    <t>FY 16</t>
  </si>
  <si>
    <t>FY 17</t>
  </si>
  <si>
    <t>FY 18</t>
  </si>
  <si>
    <t>FY 19</t>
  </si>
  <si>
    <t>FY 20</t>
  </si>
  <si>
    <t>Purchase Price based on FY</t>
  </si>
  <si>
    <t>FY 21</t>
  </si>
  <si>
    <t>FY 22</t>
  </si>
  <si>
    <t>FY 23</t>
  </si>
  <si>
    <t>FY 24</t>
  </si>
  <si>
    <t>FY 25</t>
  </si>
  <si>
    <t>FY 26</t>
  </si>
  <si>
    <t>FY 27</t>
  </si>
  <si>
    <t>FY 28</t>
  </si>
  <si>
    <t>FY 29</t>
  </si>
  <si>
    <t>FY 30</t>
  </si>
  <si>
    <t>FY 31</t>
  </si>
  <si>
    <t>FY 32</t>
  </si>
  <si>
    <t>FY 33</t>
  </si>
  <si>
    <t>FY 34</t>
  </si>
  <si>
    <t>FY  35</t>
  </si>
  <si>
    <t>FT 36</t>
  </si>
  <si>
    <t>FY37</t>
  </si>
  <si>
    <t>FY38</t>
  </si>
  <si>
    <t>FY 39</t>
  </si>
  <si>
    <t>FY 40</t>
  </si>
  <si>
    <t>FY41</t>
  </si>
  <si>
    <t>FY42</t>
  </si>
  <si>
    <t>FY43</t>
  </si>
  <si>
    <t>FY44</t>
  </si>
  <si>
    <t>FY45</t>
  </si>
  <si>
    <t>FY46</t>
  </si>
  <si>
    <t>FY47</t>
  </si>
  <si>
    <t>FY48</t>
  </si>
  <si>
    <t>FY49</t>
  </si>
  <si>
    <t>FY50</t>
  </si>
  <si>
    <t>FY51</t>
  </si>
  <si>
    <t>FY52</t>
  </si>
  <si>
    <t>FY53</t>
  </si>
  <si>
    <t>FY54</t>
  </si>
  <si>
    <t>Total Annual Snow Plow Truck Purchase</t>
  </si>
  <si>
    <t>Truck 4</t>
  </si>
  <si>
    <t>Large Plow/Dump</t>
  </si>
  <si>
    <t>IH</t>
  </si>
  <si>
    <t>two</t>
  </si>
  <si>
    <t>three</t>
  </si>
  <si>
    <t>four</t>
  </si>
  <si>
    <t>five</t>
  </si>
  <si>
    <t>six</t>
  </si>
  <si>
    <t>seven</t>
  </si>
  <si>
    <t>eight</t>
  </si>
  <si>
    <t>nine</t>
  </si>
  <si>
    <t>ten</t>
  </si>
  <si>
    <t>one</t>
  </si>
  <si>
    <t>Truck 2</t>
  </si>
  <si>
    <t>eight**</t>
  </si>
  <si>
    <t>Truck 8</t>
  </si>
  <si>
    <t>Truck 14</t>
  </si>
  <si>
    <t>eleven</t>
  </si>
  <si>
    <t>Truck 15</t>
  </si>
  <si>
    <t>Twelve</t>
  </si>
  <si>
    <t>Thirteen</t>
  </si>
  <si>
    <t>Truck 6</t>
  </si>
  <si>
    <r>
      <rPr>
        <b/>
        <sz val="12"/>
        <color indexed="8"/>
        <rFont val="Helvetica Neue"/>
      </rPr>
      <t xml:space="preserve">Truck 17 </t>
    </r>
    <r>
      <rPr>
        <sz val="10"/>
        <color indexed="8"/>
        <rFont val="Helvetica Neue"/>
      </rPr>
      <t>(As of FY22)</t>
    </r>
  </si>
  <si>
    <t>New</t>
  </si>
  <si>
    <t>Previously 10 Wheel Truck17</t>
  </si>
  <si>
    <t>.</t>
  </si>
  <si>
    <t>Truck 10</t>
  </si>
  <si>
    <t>Large Plow 2 Axel/Dump</t>
  </si>
  <si>
    <t>twelve</t>
  </si>
  <si>
    <t>Only 10 wheel truck remaining</t>
  </si>
  <si>
    <t>Excavator</t>
  </si>
  <si>
    <t>TBD</t>
  </si>
  <si>
    <t>n/a</t>
  </si>
  <si>
    <t>thirteen</t>
  </si>
  <si>
    <t>fourteen</t>
  </si>
  <si>
    <t>fifteen</t>
  </si>
  <si>
    <t>sixteen</t>
  </si>
  <si>
    <t>seventeen</t>
  </si>
  <si>
    <t>eighteen</t>
  </si>
  <si>
    <t>nineteen</t>
  </si>
  <si>
    <t>Grader</t>
  </si>
  <si>
    <t>Volvo G946B</t>
  </si>
  <si>
    <t>Nine</t>
  </si>
  <si>
    <t>Ten</t>
  </si>
  <si>
    <t>twenty</t>
  </si>
  <si>
    <t>Loader1 DPW/Transfer</t>
  </si>
  <si>
    <t>Loader</t>
  </si>
  <si>
    <t>Hyundai</t>
  </si>
  <si>
    <t>ten**</t>
  </si>
  <si>
    <t>eleven**</t>
  </si>
  <si>
    <t>Loader2 DPW/Transfer</t>
  </si>
  <si>
    <t>Eleven</t>
  </si>
  <si>
    <t>Truck 7</t>
  </si>
  <si>
    <t>Pick up</t>
  </si>
  <si>
    <t>4X4 F350</t>
  </si>
  <si>
    <t xml:space="preserve">three </t>
  </si>
  <si>
    <t>Truck 12</t>
  </si>
  <si>
    <t>5</t>
  </si>
  <si>
    <t>Substituted</t>
  </si>
  <si>
    <r>
      <rPr>
        <b/>
        <sz val="12"/>
        <color indexed="8"/>
        <rFont val="Helvetica Neue"/>
      </rPr>
      <t>Truck 16</t>
    </r>
  </si>
  <si>
    <t>Pick Up</t>
  </si>
  <si>
    <t>Seven</t>
  </si>
  <si>
    <t>Truck 11</t>
  </si>
  <si>
    <t>Building and Grounds foreman</t>
  </si>
  <si>
    <t>Colorado</t>
  </si>
  <si>
    <t>Pending</t>
  </si>
  <si>
    <t>NA</t>
  </si>
  <si>
    <t>Rec 1</t>
  </si>
  <si>
    <t>F350</t>
  </si>
  <si>
    <t>Not Shared</t>
  </si>
  <si>
    <r>
      <rPr>
        <b/>
        <strike/>
        <sz val="10"/>
        <color indexed="8"/>
        <rFont val="Helvetica Neue"/>
      </rPr>
      <t>Rec 3</t>
    </r>
    <r>
      <rPr>
        <b/>
        <sz val="10"/>
        <color indexed="8"/>
        <rFont val="Helvetica Neue"/>
      </rPr>
      <t xml:space="preserve">  Proposed Truck 18</t>
    </r>
  </si>
  <si>
    <t>Proposed Medium Plow/Dump</t>
  </si>
  <si>
    <t>Truck 5</t>
  </si>
  <si>
    <t>Medium Plow/Dump</t>
  </si>
  <si>
    <t>4X4 F550</t>
  </si>
  <si>
    <t>Truck 9</t>
  </si>
  <si>
    <t xml:space="preserve">two </t>
  </si>
  <si>
    <t>Truck 1</t>
  </si>
  <si>
    <t>N/A</t>
  </si>
  <si>
    <t>Non-functional</t>
  </si>
  <si>
    <t>Zero Turn Mower 1</t>
  </si>
  <si>
    <t>Ferris</t>
  </si>
  <si>
    <t>152100Z</t>
  </si>
  <si>
    <t>Zero Turn Mower 2</t>
  </si>
  <si>
    <t>Toro</t>
  </si>
  <si>
    <t>Z-Master</t>
  </si>
  <si>
    <t>Zero Turn Mower 3</t>
  </si>
  <si>
    <t>eX-Mark</t>
  </si>
  <si>
    <t>LZZ24KA526</t>
  </si>
  <si>
    <t xml:space="preserve">Twelve </t>
  </si>
  <si>
    <t>Not Replaced</t>
  </si>
  <si>
    <t>Back Hoe - Case</t>
  </si>
  <si>
    <t>Back Hoe</t>
  </si>
  <si>
    <t>Case</t>
  </si>
  <si>
    <t>Four</t>
  </si>
  <si>
    <t>fifteen**</t>
  </si>
  <si>
    <t>Trackless</t>
  </si>
  <si>
    <t>MT5T1986</t>
  </si>
  <si>
    <t>Tractor - Kubota (90 hp)</t>
  </si>
  <si>
    <t>M5-901</t>
  </si>
  <si>
    <t>Kubota</t>
  </si>
  <si>
    <t>Hot Box</t>
  </si>
  <si>
    <t>RC8000</t>
  </si>
  <si>
    <t>Chipper</t>
  </si>
  <si>
    <t>Bandit</t>
  </si>
  <si>
    <t>Kubota (24.8 hp)</t>
  </si>
  <si>
    <t>24.8 hp Tractor</t>
  </si>
  <si>
    <t>B2601HSD</t>
  </si>
  <si>
    <t>Use Till Failure Equipment</t>
  </si>
  <si>
    <t>Sign Board, Trailer, etc</t>
  </si>
  <si>
    <t>Outright Purchase</t>
  </si>
  <si>
    <t>Planned Purchase</t>
  </si>
  <si>
    <t>Total Annual Purchase</t>
  </si>
  <si>
    <t>Total  Planned Annual Purchases</t>
  </si>
  <si>
    <t>- Trade in Allowance</t>
  </si>
  <si>
    <t xml:space="preserve"> - Trade in Allowance</t>
  </si>
  <si>
    <t>= Net Annual Purchase</t>
  </si>
  <si>
    <t>Net Annual Purchase</t>
  </si>
  <si>
    <t>- Purchase Budget Applied</t>
  </si>
  <si>
    <t>Purchase Budget</t>
  </si>
  <si>
    <t>= Required CR Draw</t>
  </si>
  <si>
    <t>Required CR Draw</t>
  </si>
  <si>
    <t>Beginning CRF Balance</t>
  </si>
  <si>
    <t>Requested CRF Warrant</t>
  </si>
  <si>
    <t>CRF Warrant Article</t>
  </si>
  <si>
    <t>CRF After Warrant</t>
  </si>
  <si>
    <t>CRF Balance With Warrant Approval</t>
  </si>
  <si>
    <t>- Purchase CRF Draw</t>
  </si>
  <si>
    <t>Ending CRF Balance</t>
  </si>
  <si>
    <t>Five Year (Flat) Funding Planning Tool</t>
  </si>
  <si>
    <t>Total annual Funding = Budget + CRF Article</t>
  </si>
  <si>
    <r>
      <rPr>
        <b/>
        <sz val="13"/>
        <color indexed="8"/>
        <rFont val="Helvetica Neue"/>
      </rPr>
      <t xml:space="preserve">Total Available Funding  = </t>
    </r>
    <r>
      <rPr>
        <b/>
        <sz val="11"/>
        <color indexed="8"/>
        <rFont val="Helvetica Neue"/>
      </rPr>
      <t>Purchase Budget + Approved CRF Article</t>
    </r>
  </si>
  <si>
    <t>Funding Adjustment Planning Tool</t>
  </si>
  <si>
    <t>Sheet 1</t>
  </si>
  <si>
    <t>Use Till Fallure (UTF) Equipmen</t>
  </si>
  <si>
    <t xml:space="preserve">Trailer - Recycled Oil </t>
  </si>
  <si>
    <t>Used Oil Collection</t>
  </si>
  <si>
    <t>2020*</t>
  </si>
  <si>
    <t>UTF</t>
  </si>
  <si>
    <t>replace</t>
  </si>
  <si>
    <t>Trailer</t>
  </si>
  <si>
    <t>Dump</t>
  </si>
  <si>
    <t>Utility</t>
  </si>
  <si>
    <t>Tank</t>
  </si>
  <si>
    <t>sixty-one</t>
  </si>
  <si>
    <t>sixty-two</t>
  </si>
  <si>
    <t>sixty-three</t>
  </si>
  <si>
    <t>sixty-four</t>
  </si>
  <si>
    <t>sixty-five</t>
  </si>
  <si>
    <t>sixty-six</t>
  </si>
  <si>
    <t>sixty-seven</t>
  </si>
  <si>
    <t>sixty-eight</t>
  </si>
  <si>
    <t>sixty-nine</t>
  </si>
  <si>
    <t>Landscape</t>
  </si>
  <si>
    <t>Signboard Verma</t>
  </si>
  <si>
    <t>PMS1210</t>
  </si>
  <si>
    <t>Signboard</t>
  </si>
  <si>
    <t>Amer Signal</t>
  </si>
  <si>
    <t>Ver-Mac</t>
  </si>
  <si>
    <t>***Equipment Trailer***</t>
  </si>
  <si>
    <t>Transport for Transfer station back hoe</t>
  </si>
  <si>
    <t>Planned</t>
  </si>
  <si>
    <t>Decommission</t>
  </si>
  <si>
    <r>
      <rPr>
        <sz val="10"/>
        <color indexed="8"/>
        <rFont val="Helvetica Neue"/>
      </rPr>
      <t xml:space="preserve">Average Annual Purchase Price for Miscellaneous Equipment </t>
    </r>
    <r>
      <rPr>
        <i/>
        <sz val="9"/>
        <color indexed="8"/>
        <rFont val="Helvetica Neue"/>
      </rPr>
      <t>(20 years)</t>
    </r>
  </si>
  <si>
    <t>30 year inflation numbers</t>
  </si>
  <si>
    <t>Annual</t>
  </si>
  <si>
    <t>Avail Nov10</t>
  </si>
  <si>
    <t>30 yr average</t>
  </si>
  <si>
    <t>360 mo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</si>
</sst>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
    <numFmt numFmtId="165" formatCode="&quot;$&quot;#,##0.00"/>
    <numFmt numFmtId="166" formatCode="#,##0.000000"/>
    <numFmt numFmtId="167" formatCode="m/d"/>
    <numFmt numFmtId="168" formatCode="mmmm"/>
    <numFmt numFmtId="169" formatCode="0.0"/>
    <numFmt numFmtId="170" formatCode="0.000"/>
  </numFmts>
  <fonts count="38">
    <font>
      <sz val="10"/>
      <color indexed="8"/>
      <name val="Helvetica Neue"/>
    </font>
    <font>
      <sz val="12"/>
      <color indexed="8"/>
      <name val="Helvetica Neue"/>
    </font>
    <font>
      <sz val="14"/>
      <color indexed="8"/>
      <name val="Helvetica Neue"/>
    </font>
    <font>
      <u/>
      <sz val="12"/>
      <color indexed="11"/>
      <name val="Helvetica Neue"/>
    </font>
    <font>
      <sz val="15"/>
      <color indexed="8"/>
      <name val="Calibri"/>
    </font>
    <font>
      <b/>
      <sz val="12"/>
      <color indexed="8"/>
      <name val="Helvetica Neue"/>
    </font>
    <font>
      <b/>
      <sz val="11"/>
      <color indexed="8"/>
      <name val="Helvetica Neue"/>
    </font>
    <font>
      <b/>
      <i/>
      <sz val="12"/>
      <color indexed="8"/>
      <name val="Helvetica Neue"/>
    </font>
    <font>
      <sz val="11"/>
      <color indexed="8"/>
      <name val="Helvetica Neue"/>
    </font>
    <font>
      <i/>
      <sz val="9"/>
      <color indexed="8"/>
      <name val="Helvetica Neue"/>
    </font>
    <font>
      <i/>
      <sz val="9"/>
      <color indexed="8"/>
      <name val="Helvetica"/>
    </font>
    <font>
      <sz val="12"/>
      <color indexed="8"/>
      <name val="Helvetica"/>
    </font>
    <font>
      <sz val="10"/>
      <color indexed="8"/>
      <name val="Helvetica"/>
    </font>
    <font>
      <sz val="9"/>
      <color indexed="8"/>
      <name val="Helvetica"/>
    </font>
    <font>
      <b/>
      <sz val="10"/>
      <color indexed="8"/>
      <name val="Helvetica"/>
    </font>
    <font>
      <i/>
      <sz val="10"/>
      <color indexed="8"/>
      <name val="Helvetica"/>
    </font>
    <font>
      <sz val="10"/>
      <color indexed="8"/>
      <name val="Verdana"/>
    </font>
    <font>
      <i/>
      <sz val="7"/>
      <color indexed="8"/>
      <name val="Verdana"/>
    </font>
    <font>
      <b/>
      <sz val="10"/>
      <color indexed="8"/>
      <name val="Helvetica Neue"/>
    </font>
    <font>
      <i/>
      <sz val="10"/>
      <color indexed="8"/>
      <name val="Helvetica Neue"/>
    </font>
    <font>
      <sz val="12"/>
      <color indexed="8"/>
      <name val="Verdana"/>
    </font>
    <font>
      <b/>
      <strike/>
      <sz val="10"/>
      <color indexed="8"/>
      <name val="Helvetica Neue"/>
    </font>
    <font>
      <b/>
      <sz val="9"/>
      <color indexed="8"/>
      <name val="Helvetica Neue"/>
    </font>
    <font>
      <sz val="9"/>
      <color indexed="8"/>
      <name val="Verdana"/>
    </font>
    <font>
      <b/>
      <sz val="8"/>
      <color indexed="8"/>
      <name val="Helvetica Neue"/>
    </font>
    <font>
      <b/>
      <i/>
      <sz val="11"/>
      <color indexed="8"/>
      <name val="Helvetica Neue"/>
    </font>
    <font>
      <i/>
      <sz val="11"/>
      <color indexed="8"/>
      <name val="Helvetica Neue"/>
    </font>
    <font>
      <b/>
      <i/>
      <sz val="10"/>
      <color indexed="8"/>
      <name val="Helvetica Neue"/>
    </font>
    <font>
      <b/>
      <sz val="14"/>
      <color indexed="8"/>
      <name val="Helvetica Neue"/>
    </font>
    <font>
      <b/>
      <sz val="13"/>
      <color indexed="8"/>
      <name val="Helvetica Neue"/>
    </font>
    <font>
      <b/>
      <sz val="7"/>
      <color indexed="8"/>
      <name val="Helvetica Neue"/>
    </font>
    <font>
      <b/>
      <i/>
      <sz val="8"/>
      <color indexed="8"/>
      <name val="Helvetica Neue"/>
    </font>
    <font>
      <b/>
      <sz val="12"/>
      <color indexed="47"/>
      <name val="Helvetica"/>
    </font>
    <font>
      <sz val="12"/>
      <color indexed="47"/>
      <name val="Helvetica"/>
    </font>
    <font>
      <u/>
      <sz val="13"/>
      <color indexed="47"/>
      <name val="Helvetica"/>
    </font>
    <font>
      <i/>
      <sz val="12"/>
      <color indexed="47"/>
      <name val="Helvetica"/>
    </font>
    <font>
      <u/>
      <sz val="13"/>
      <color indexed="8"/>
      <name val="Helvetica Neue"/>
    </font>
    <font>
      <b/>
      <u/>
      <sz val="14"/>
      <color indexed="8"/>
      <name val="Helvetica Neue"/>
    </font>
  </fonts>
  <fills count="3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13"/>
        <bgColor auto="1"/>
      </patternFill>
    </fill>
    <fill>
      <patternFill patternType="solid">
        <fgColor indexed="28"/>
        <bgColor auto="1"/>
      </patternFill>
    </fill>
    <fill>
      <patternFill patternType="solid">
        <fgColor indexed="29"/>
        <bgColor auto="1"/>
      </patternFill>
    </fill>
    <fill>
      <patternFill patternType="solid">
        <fgColor indexed="31"/>
        <bgColor auto="1"/>
      </patternFill>
    </fill>
    <fill>
      <patternFill patternType="solid">
        <fgColor indexed="32"/>
        <bgColor auto="1"/>
      </patternFill>
    </fill>
    <fill>
      <patternFill patternType="solid">
        <fgColor indexed="33"/>
        <bgColor auto="1"/>
      </patternFill>
    </fill>
    <fill>
      <patternFill patternType="solid">
        <fgColor indexed="35"/>
        <bgColor auto="1"/>
      </patternFill>
    </fill>
    <fill>
      <patternFill patternType="solid">
        <fgColor indexed="36"/>
        <bgColor auto="1"/>
      </patternFill>
    </fill>
    <fill>
      <patternFill patternType="solid">
        <fgColor indexed="39"/>
        <bgColor auto="1"/>
      </patternFill>
    </fill>
    <fill>
      <patternFill patternType="solid">
        <fgColor indexed="42"/>
        <bgColor auto="1"/>
      </patternFill>
    </fill>
    <fill>
      <patternFill patternType="solid">
        <fgColor indexed="43"/>
        <bgColor auto="1"/>
      </patternFill>
    </fill>
    <fill>
      <patternFill patternType="solid">
        <fgColor indexed="48"/>
        <bgColor auto="1"/>
      </patternFill>
    </fill>
    <fill>
      <patternFill patternType="solid">
        <fgColor indexed="49"/>
        <bgColor auto="1"/>
      </patternFill>
    </fill>
  </fills>
  <borders count="73">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20"/>
      </right>
      <top style="thin">
        <color indexed="13"/>
      </top>
      <bottom style="thin">
        <color indexed="13"/>
      </bottom>
      <diagonal/>
    </border>
    <border>
      <left style="thin">
        <color indexed="13"/>
      </left>
      <right style="thin">
        <color indexed="20"/>
      </right>
      <top style="thin">
        <color indexed="13"/>
      </top>
      <bottom/>
      <diagonal/>
    </border>
    <border>
      <left style="thin">
        <color indexed="13"/>
      </left>
      <right style="thin">
        <color indexed="20"/>
      </right>
      <top/>
      <bottom style="thin">
        <color indexed="13"/>
      </bottom>
      <diagonal/>
    </border>
    <border>
      <left/>
      <right/>
      <top style="thin">
        <color indexed="13"/>
      </top>
      <bottom style="thin">
        <color indexed="13"/>
      </bottom>
      <diagonal/>
    </border>
    <border>
      <left/>
      <right/>
      <top style="thin">
        <color indexed="13"/>
      </top>
      <bottom style="thin">
        <color indexed="24"/>
      </bottom>
      <diagonal/>
    </border>
    <border>
      <left/>
      <right style="thin">
        <color indexed="20"/>
      </right>
      <top/>
      <bottom/>
      <diagonal/>
    </border>
    <border>
      <left style="thin">
        <color indexed="13"/>
      </left>
      <right style="thin">
        <color indexed="13"/>
      </right>
      <top style="thin">
        <color indexed="13"/>
      </top>
      <bottom style="thin">
        <color indexed="24"/>
      </bottom>
      <diagonal/>
    </border>
    <border>
      <left style="thin">
        <color indexed="13"/>
      </left>
      <right style="thin">
        <color indexed="24"/>
      </right>
      <top style="thin">
        <color indexed="13"/>
      </top>
      <bottom style="thin">
        <color indexed="13"/>
      </bottom>
      <diagonal/>
    </border>
    <border>
      <left style="thin">
        <color indexed="24"/>
      </left>
      <right style="thin">
        <color indexed="24"/>
      </right>
      <top style="thin">
        <color indexed="24"/>
      </top>
      <bottom style="thin">
        <color indexed="13"/>
      </bottom>
      <diagonal/>
    </border>
    <border>
      <left style="thin">
        <color indexed="24"/>
      </left>
      <right style="thin">
        <color indexed="13"/>
      </right>
      <top style="thin">
        <color indexed="13"/>
      </top>
      <bottom style="thin">
        <color indexed="13"/>
      </bottom>
      <diagonal/>
    </border>
    <border>
      <left style="thin">
        <color indexed="13"/>
      </left>
      <right style="thin">
        <color indexed="20"/>
      </right>
      <top/>
      <bottom/>
      <diagonal/>
    </border>
    <border>
      <left style="thin">
        <color indexed="24"/>
      </left>
      <right style="thin">
        <color indexed="24"/>
      </right>
      <top style="thin">
        <color indexed="24"/>
      </top>
      <bottom style="thin">
        <color indexed="24"/>
      </bottom>
      <diagonal/>
    </border>
    <border>
      <left style="thin">
        <color indexed="24"/>
      </left>
      <right style="thin">
        <color indexed="20"/>
      </right>
      <top/>
      <bottom style="thin">
        <color indexed="13"/>
      </bottom>
      <diagonal/>
    </border>
    <border>
      <left style="thin">
        <color indexed="13"/>
      </left>
      <right style="thin">
        <color indexed="13"/>
      </right>
      <top style="thin">
        <color indexed="24"/>
      </top>
      <bottom style="thin">
        <color indexed="13"/>
      </bottom>
      <diagonal/>
    </border>
    <border>
      <left style="thin">
        <color indexed="13"/>
      </left>
      <right style="thin">
        <color indexed="21"/>
      </right>
      <top style="thin">
        <color indexed="13"/>
      </top>
      <bottom style="thin">
        <color indexed="13"/>
      </bottom>
      <diagonal/>
    </border>
    <border>
      <left style="thin">
        <color indexed="21"/>
      </left>
      <right style="thin">
        <color indexed="21"/>
      </right>
      <top style="thin">
        <color indexed="13"/>
      </top>
      <bottom style="thin">
        <color indexed="13"/>
      </bottom>
      <diagonal/>
    </border>
    <border>
      <left style="thin">
        <color indexed="21"/>
      </left>
      <right style="thin">
        <color indexed="13"/>
      </right>
      <top style="thin">
        <color indexed="13"/>
      </top>
      <bottom style="thin">
        <color indexed="13"/>
      </bottom>
      <diagonal/>
    </border>
    <border>
      <left style="thin">
        <color indexed="13"/>
      </left>
      <right style="thin">
        <color indexed="24"/>
      </right>
      <top style="thin">
        <color indexed="13"/>
      </top>
      <bottom style="thin">
        <color indexed="24"/>
      </bottom>
      <diagonal/>
    </border>
    <border>
      <left style="thin">
        <color indexed="24"/>
      </left>
      <right style="thin">
        <color indexed="13"/>
      </right>
      <top style="thin">
        <color indexed="24"/>
      </top>
      <bottom style="thin">
        <color indexed="24"/>
      </bottom>
      <diagonal/>
    </border>
    <border>
      <left style="thin">
        <color indexed="13"/>
      </left>
      <right style="thin">
        <color indexed="13"/>
      </right>
      <top style="thin">
        <color indexed="13"/>
      </top>
      <bottom style="thin">
        <color indexed="14"/>
      </bottom>
      <diagonal/>
    </border>
    <border>
      <left style="thin">
        <color indexed="13"/>
      </left>
      <right style="thin">
        <color indexed="24"/>
      </right>
      <top style="thin">
        <color indexed="24"/>
      </top>
      <bottom style="thin">
        <color indexed="13"/>
      </bottom>
      <diagonal/>
    </border>
    <border>
      <left style="thin">
        <color indexed="14"/>
      </left>
      <right style="thin">
        <color indexed="14"/>
      </right>
      <top style="thin">
        <color indexed="14"/>
      </top>
      <bottom style="thin">
        <color indexed="14"/>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4"/>
      </right>
      <top style="thin">
        <color indexed="14"/>
      </top>
      <bottom style="thin">
        <color indexed="13"/>
      </bottom>
      <diagonal/>
    </border>
    <border>
      <left/>
      <right style="thin">
        <color indexed="13"/>
      </right>
      <top style="thin">
        <color indexed="13"/>
      </top>
      <bottom style="thin">
        <color indexed="13"/>
      </bottom>
      <diagonal/>
    </border>
    <border>
      <left style="thin">
        <color indexed="13"/>
      </left>
      <right style="thin">
        <color indexed="30"/>
      </right>
      <top style="thin">
        <color indexed="13"/>
      </top>
      <bottom style="thin">
        <color indexed="13"/>
      </bottom>
      <diagonal/>
    </border>
    <border>
      <left style="thin">
        <color indexed="30"/>
      </left>
      <right style="thin">
        <color indexed="13"/>
      </right>
      <top style="thin">
        <color indexed="13"/>
      </top>
      <bottom style="thin">
        <color indexed="30"/>
      </bottom>
      <diagonal/>
    </border>
    <border>
      <left style="thin">
        <color indexed="13"/>
      </left>
      <right style="thin">
        <color indexed="13"/>
      </right>
      <top style="thin">
        <color indexed="13"/>
      </top>
      <bottom style="thin">
        <color indexed="30"/>
      </bottom>
      <diagonal/>
    </border>
    <border>
      <left style="thin">
        <color indexed="13"/>
      </left>
      <right style="thin">
        <color indexed="13"/>
      </right>
      <top style="thin">
        <color indexed="30"/>
      </top>
      <bottom style="thin">
        <color indexed="13"/>
      </bottom>
      <diagonal/>
    </border>
    <border>
      <left style="thin">
        <color indexed="30"/>
      </left>
      <right style="thin">
        <color indexed="13"/>
      </right>
      <top style="thin">
        <color indexed="30"/>
      </top>
      <bottom style="thin">
        <color indexed="30"/>
      </bottom>
      <diagonal/>
    </border>
    <border>
      <left style="thin">
        <color indexed="13"/>
      </left>
      <right style="thin">
        <color indexed="13"/>
      </right>
      <top style="thin">
        <color indexed="30"/>
      </top>
      <bottom style="thin">
        <color indexed="30"/>
      </bottom>
      <diagonal/>
    </border>
    <border>
      <left style="thin">
        <color indexed="13"/>
      </left>
      <right style="thin">
        <color indexed="30"/>
      </right>
      <top style="thin">
        <color indexed="30"/>
      </top>
      <bottom style="thin">
        <color indexed="30"/>
      </bottom>
      <diagonal/>
    </border>
    <border>
      <left style="thin">
        <color indexed="30"/>
      </left>
      <right style="thin">
        <color indexed="30"/>
      </right>
      <top style="thin">
        <color indexed="13"/>
      </top>
      <bottom style="thin">
        <color indexed="13"/>
      </bottom>
      <diagonal/>
    </border>
    <border>
      <left style="thin">
        <color indexed="30"/>
      </left>
      <right style="thin">
        <color indexed="13"/>
      </right>
      <top style="thin">
        <color indexed="13"/>
      </top>
      <bottom style="thin">
        <color indexed="13"/>
      </bottom>
      <diagonal/>
    </border>
    <border>
      <left style="thin">
        <color indexed="13"/>
      </left>
      <right style="thin">
        <color indexed="13"/>
      </right>
      <top style="thin">
        <color indexed="30"/>
      </top>
      <bottom style="thin">
        <color indexed="34"/>
      </bottom>
      <diagonal/>
    </border>
    <border>
      <left style="thin">
        <color indexed="13"/>
      </left>
      <right style="thin">
        <color indexed="13"/>
      </right>
      <top style="thin">
        <color indexed="34"/>
      </top>
      <bottom style="thin">
        <color indexed="30"/>
      </bottom>
      <diagonal/>
    </border>
    <border>
      <left style="thin">
        <color indexed="13"/>
      </left>
      <right style="thin">
        <color indexed="30"/>
      </right>
      <top style="thin">
        <color indexed="30"/>
      </top>
      <bottom style="thin">
        <color indexed="13"/>
      </bottom>
      <diagonal/>
    </border>
    <border>
      <left style="thin">
        <color indexed="13"/>
      </left>
      <right/>
      <top style="thin">
        <color indexed="13"/>
      </top>
      <bottom style="thin">
        <color indexed="13"/>
      </bottom>
      <diagonal/>
    </border>
    <border>
      <left/>
      <right style="thin">
        <color indexed="20"/>
      </right>
      <top style="thin">
        <color indexed="13"/>
      </top>
      <bottom style="thin">
        <color indexed="13"/>
      </bottom>
      <diagonal/>
    </border>
    <border>
      <left style="thin">
        <color indexed="20"/>
      </left>
      <right style="thin">
        <color indexed="20"/>
      </right>
      <top style="thin">
        <color indexed="13"/>
      </top>
      <bottom style="thin">
        <color indexed="13"/>
      </bottom>
      <diagonal/>
    </border>
    <border>
      <left style="thin">
        <color indexed="30"/>
      </left>
      <right style="thin">
        <color indexed="30"/>
      </right>
      <top style="thin">
        <color indexed="30"/>
      </top>
      <bottom style="thin">
        <color indexed="30"/>
      </bottom>
      <diagonal/>
    </border>
    <border>
      <left style="thin">
        <color indexed="13"/>
      </left>
      <right style="thin">
        <color indexed="30"/>
      </right>
      <top style="thin">
        <color indexed="13"/>
      </top>
      <bottom style="thin">
        <color indexed="30"/>
      </bottom>
      <diagonal/>
    </border>
    <border>
      <left style="thin">
        <color indexed="30"/>
      </left>
      <right style="thin">
        <color indexed="30"/>
      </right>
      <top style="thin">
        <color indexed="13"/>
      </top>
      <bottom style="thin">
        <color indexed="30"/>
      </bottom>
      <diagonal/>
    </border>
    <border>
      <left style="thin">
        <color indexed="30"/>
      </left>
      <right style="thin">
        <color indexed="13"/>
      </right>
      <top style="thin">
        <color indexed="30"/>
      </top>
      <bottom style="thin">
        <color indexed="13"/>
      </bottom>
      <diagonal/>
    </border>
    <border>
      <left style="thin">
        <color indexed="30"/>
      </left>
      <right style="thin">
        <color indexed="37"/>
      </right>
      <top style="thin">
        <color indexed="30"/>
      </top>
      <bottom style="thin">
        <color indexed="30"/>
      </bottom>
      <diagonal/>
    </border>
    <border>
      <left style="thin">
        <color indexed="37"/>
      </left>
      <right style="thin">
        <color indexed="37"/>
      </right>
      <top style="thin">
        <color indexed="30"/>
      </top>
      <bottom style="thin">
        <color indexed="30"/>
      </bottom>
      <diagonal/>
    </border>
    <border>
      <left style="thin">
        <color indexed="37"/>
      </left>
      <right style="thin">
        <color indexed="13"/>
      </right>
      <top style="thin">
        <color indexed="13"/>
      </top>
      <bottom style="thin">
        <color indexed="13"/>
      </bottom>
      <diagonal/>
    </border>
    <border>
      <left style="thin">
        <color indexed="13"/>
      </left>
      <right style="thin">
        <color indexed="30"/>
      </right>
      <top style="thin">
        <color indexed="13"/>
      </top>
      <bottom style="thin">
        <color indexed="38"/>
      </bottom>
      <diagonal/>
    </border>
    <border>
      <left style="thin">
        <color indexed="40"/>
      </left>
      <right style="thin">
        <color indexed="40"/>
      </right>
      <top style="thin">
        <color indexed="40"/>
      </top>
      <bottom style="thin">
        <color indexed="41"/>
      </bottom>
      <diagonal/>
    </border>
    <border>
      <left style="thin">
        <color indexed="40"/>
      </left>
      <right style="thin">
        <color indexed="41"/>
      </right>
      <top style="thin">
        <color indexed="41"/>
      </top>
      <bottom style="thin">
        <color indexed="40"/>
      </bottom>
      <diagonal/>
    </border>
    <border>
      <left style="thin">
        <color indexed="41"/>
      </left>
      <right style="thin">
        <color indexed="40"/>
      </right>
      <top style="thin">
        <color indexed="41"/>
      </top>
      <bottom style="thin">
        <color indexed="40"/>
      </bottom>
      <diagonal/>
    </border>
    <border>
      <left style="thin">
        <color indexed="40"/>
      </left>
      <right style="thin">
        <color indexed="40"/>
      </right>
      <top style="thin">
        <color indexed="41"/>
      </top>
      <bottom style="thin">
        <color indexed="40"/>
      </bottom>
      <diagonal/>
    </border>
    <border>
      <left style="thin">
        <color indexed="40"/>
      </left>
      <right style="thin">
        <color indexed="41"/>
      </right>
      <top style="thin">
        <color indexed="40"/>
      </top>
      <bottom style="thin">
        <color indexed="40"/>
      </bottom>
      <diagonal/>
    </border>
    <border>
      <left style="thin">
        <color indexed="41"/>
      </left>
      <right style="thin">
        <color indexed="40"/>
      </right>
      <top style="thin">
        <color indexed="40"/>
      </top>
      <bottom style="thin">
        <color indexed="40"/>
      </bottom>
      <diagonal/>
    </border>
    <border>
      <left style="thin">
        <color indexed="40"/>
      </left>
      <right style="thin">
        <color indexed="40"/>
      </right>
      <top style="thin">
        <color indexed="40"/>
      </top>
      <bottom style="thin">
        <color indexed="40"/>
      </bottom>
      <diagonal/>
    </border>
    <border>
      <left style="thin">
        <color indexed="13"/>
      </left>
      <right style="thin">
        <color indexed="13"/>
      </right>
      <top style="thin">
        <color indexed="20"/>
      </top>
      <bottom style="thin">
        <color indexed="13"/>
      </bottom>
      <diagonal/>
    </border>
    <border>
      <left style="thin">
        <color indexed="13"/>
      </left>
      <right style="thin">
        <color indexed="13"/>
      </right>
      <top style="thin">
        <color indexed="13"/>
      </top>
      <bottom style="thin">
        <color indexed="21"/>
      </bottom>
      <diagonal/>
    </border>
    <border>
      <left style="thin">
        <color indexed="13"/>
      </left>
      <right style="thin">
        <color indexed="13"/>
      </right>
      <top style="thin">
        <color indexed="21"/>
      </top>
      <bottom style="thin">
        <color indexed="13"/>
      </bottom>
      <diagonal/>
    </border>
    <border>
      <left style="thin">
        <color indexed="13"/>
      </left>
      <right style="thin">
        <color indexed="13"/>
      </right>
      <top style="thin">
        <color indexed="13"/>
      </top>
      <bottom style="medium">
        <color indexed="44"/>
      </bottom>
      <diagonal/>
    </border>
    <border>
      <left style="thin">
        <color indexed="20"/>
      </left>
      <right/>
      <top style="thin">
        <color indexed="20"/>
      </top>
      <bottom style="thin">
        <color indexed="45"/>
      </bottom>
      <diagonal/>
    </border>
    <border>
      <left/>
      <right/>
      <top style="thin">
        <color indexed="20"/>
      </top>
      <bottom style="thin">
        <color indexed="45"/>
      </bottom>
      <diagonal/>
    </border>
    <border>
      <left/>
      <right style="thin">
        <color indexed="20"/>
      </right>
      <top style="thin">
        <color indexed="20"/>
      </top>
      <bottom style="thin">
        <color indexed="45"/>
      </bottom>
      <diagonal/>
    </border>
    <border>
      <left style="thin">
        <color indexed="45"/>
      </left>
      <right style="thin">
        <color indexed="45"/>
      </right>
      <top style="thin">
        <color indexed="45"/>
      </top>
      <bottom style="thin">
        <color indexed="46"/>
      </bottom>
      <diagonal/>
    </border>
    <border>
      <left style="thin">
        <color indexed="45"/>
      </left>
      <right style="thin">
        <color indexed="46"/>
      </right>
      <top style="thin">
        <color indexed="46"/>
      </top>
      <bottom style="thin">
        <color indexed="45"/>
      </bottom>
      <diagonal/>
    </border>
    <border>
      <left style="thin">
        <color indexed="46"/>
      </left>
      <right style="thin">
        <color indexed="45"/>
      </right>
      <top style="thin">
        <color indexed="46"/>
      </top>
      <bottom style="thin">
        <color indexed="45"/>
      </bottom>
      <diagonal/>
    </border>
    <border>
      <left style="thin">
        <color indexed="45"/>
      </left>
      <right style="thin">
        <color indexed="45"/>
      </right>
      <top style="thin">
        <color indexed="46"/>
      </top>
      <bottom style="thin">
        <color indexed="45"/>
      </bottom>
      <diagonal/>
    </border>
    <border>
      <left style="thin">
        <color indexed="45"/>
      </left>
      <right style="thin">
        <color indexed="46"/>
      </right>
      <top style="thin">
        <color indexed="45"/>
      </top>
      <bottom style="thin">
        <color indexed="45"/>
      </bottom>
      <diagonal/>
    </border>
    <border>
      <left style="thin">
        <color indexed="46"/>
      </left>
      <right style="thin">
        <color indexed="45"/>
      </right>
      <top style="thin">
        <color indexed="45"/>
      </top>
      <bottom style="thin">
        <color indexed="45"/>
      </bottom>
      <diagonal/>
    </border>
    <border>
      <left style="thin">
        <color indexed="45"/>
      </left>
      <right style="thin">
        <color indexed="45"/>
      </right>
      <top style="thin">
        <color indexed="45"/>
      </top>
      <bottom style="thin">
        <color indexed="45"/>
      </bottom>
      <diagonal/>
    </border>
  </borders>
  <cellStyleXfs count="1">
    <xf numFmtId="0" fontId="0" fillId="0" borderId="0" applyNumberFormat="0" applyFill="0" applyBorder="0" applyProtection="0">
      <alignment vertical="top" wrapText="1"/>
    </xf>
  </cellStyleXfs>
  <cellXfs count="373">
    <xf numFmtId="0" fontId="0" fillId="0" borderId="0" xfId="0">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lignment vertical="top" wrapText="1"/>
    </xf>
    <xf numFmtId="49" fontId="5"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49" fontId="9" fillId="5" borderId="1" xfId="0" applyNumberFormat="1" applyFont="1" applyFill="1" applyBorder="1" applyAlignment="1">
      <alignment horizontal="left" vertical="center" wrapText="1"/>
    </xf>
    <xf numFmtId="49" fontId="9" fillId="5" borderId="1" xfId="0" applyNumberFormat="1" applyFont="1" applyFill="1" applyBorder="1" applyAlignment="1">
      <alignment horizontal="center" vertical="center" wrapText="1"/>
    </xf>
    <xf numFmtId="49" fontId="10" fillId="5" borderId="1" xfId="0" applyNumberFormat="1" applyFont="1" applyFill="1" applyBorder="1" applyAlignment="1">
      <alignment horizontal="center" vertical="center"/>
    </xf>
    <xf numFmtId="0" fontId="10" fillId="5" borderId="1" xfId="0" applyFont="1" applyFill="1" applyBorder="1" applyAlignment="1">
      <alignment horizontal="center" vertical="center"/>
    </xf>
    <xf numFmtId="1" fontId="0" fillId="6" borderId="1" xfId="0" applyNumberFormat="1" applyFill="1" applyBorder="1" applyAlignment="1">
      <alignment horizontal="right" vertical="center"/>
    </xf>
    <xf numFmtId="0" fontId="0" fillId="6" borderId="1" xfId="0" applyFill="1" applyBorder="1" applyAlignment="1">
      <alignment horizontal="center" vertical="center"/>
    </xf>
    <xf numFmtId="164" fontId="10" fillId="5" borderId="1" xfId="0" applyNumberFormat="1" applyFont="1" applyFill="1" applyBorder="1" applyAlignment="1">
      <alignment horizontal="center" vertical="center"/>
    </xf>
    <xf numFmtId="165" fontId="0" fillId="6" borderId="1" xfId="0" applyNumberFormat="1" applyFill="1" applyBorder="1" applyAlignment="1">
      <alignment vertical="center"/>
    </xf>
    <xf numFmtId="3" fontId="0" fillId="6" borderId="1" xfId="0" applyNumberFormat="1" applyFill="1" applyBorder="1" applyAlignment="1">
      <alignment horizontal="right" vertical="center"/>
    </xf>
    <xf numFmtId="165" fontId="10" fillId="5" borderId="1" xfId="0" applyNumberFormat="1" applyFont="1" applyFill="1" applyBorder="1" applyAlignment="1">
      <alignment horizontal="center" vertical="center" wrapText="1"/>
    </xf>
    <xf numFmtId="49" fontId="0" fillId="7" borderId="1" xfId="0" applyNumberFormat="1" applyFill="1" applyBorder="1" applyAlignment="1">
      <alignment vertical="center"/>
    </xf>
    <xf numFmtId="1" fontId="10" fillId="5" borderId="1" xfId="0" applyNumberFormat="1" applyFont="1" applyFill="1" applyBorder="1" applyAlignment="1">
      <alignment horizontal="center" vertical="center"/>
    </xf>
    <xf numFmtId="49" fontId="9" fillId="5" borderId="1" xfId="0" applyNumberFormat="1" applyFont="1" applyFill="1" applyBorder="1" applyAlignment="1">
      <alignment vertical="center"/>
    </xf>
    <xf numFmtId="49" fontId="9" fillId="5" borderId="1" xfId="0" applyNumberFormat="1" applyFont="1" applyFill="1" applyBorder="1" applyAlignment="1">
      <alignment horizontal="right" vertical="center"/>
    </xf>
    <xf numFmtId="165" fontId="9" fillId="5" borderId="1" xfId="0" applyNumberFormat="1" applyFont="1" applyFill="1" applyBorder="1" applyAlignment="1">
      <alignment vertical="center"/>
    </xf>
    <xf numFmtId="49" fontId="5" fillId="4" borderId="1" xfId="0" applyNumberFormat="1" applyFont="1" applyFill="1" applyBorder="1" applyAlignment="1">
      <alignment horizontal="left" vertical="center" wrapText="1"/>
    </xf>
    <xf numFmtId="49" fontId="11" fillId="6" borderId="1" xfId="0" applyNumberFormat="1" applyFont="1" applyFill="1" applyBorder="1" applyAlignment="1">
      <alignment horizontal="center" vertical="center"/>
    </xf>
    <xf numFmtId="0" fontId="11" fillId="6" borderId="1" xfId="0" applyNumberFormat="1" applyFont="1" applyFill="1" applyBorder="1" applyAlignment="1">
      <alignment horizontal="center" vertical="center"/>
    </xf>
    <xf numFmtId="0" fontId="12" fillId="6" borderId="1" xfId="0" applyNumberFormat="1" applyFont="1" applyFill="1" applyBorder="1" applyAlignment="1">
      <alignment horizontal="center" vertical="center"/>
    </xf>
    <xf numFmtId="0" fontId="0" fillId="6" borderId="1" xfId="0" applyNumberFormat="1" applyFill="1" applyBorder="1" applyAlignment="1">
      <alignment horizontal="center" vertical="center"/>
    </xf>
    <xf numFmtId="164" fontId="13" fillId="6" borderId="1" xfId="0" applyNumberFormat="1" applyFont="1" applyFill="1" applyBorder="1" applyAlignment="1">
      <alignment horizontal="center" vertical="center"/>
    </xf>
    <xf numFmtId="165" fontId="14" fillId="6" borderId="1" xfId="0" applyNumberFormat="1" applyFont="1" applyFill="1" applyBorder="1" applyAlignment="1">
      <alignment horizontal="center" vertical="center" wrapText="1"/>
    </xf>
    <xf numFmtId="1" fontId="15" fillId="0" borderId="1" xfId="0" applyNumberFormat="1" applyFont="1" applyBorder="1" applyAlignment="1">
      <alignment horizontal="center" vertical="center"/>
    </xf>
    <xf numFmtId="49" fontId="0" fillId="8" borderId="1" xfId="0" applyNumberFormat="1" applyFill="1" applyBorder="1" applyAlignment="1">
      <alignment vertical="center"/>
    </xf>
    <xf numFmtId="49" fontId="0" fillId="9" borderId="1" xfId="0" applyNumberFormat="1" applyFill="1" applyBorder="1" applyAlignment="1">
      <alignment vertical="center"/>
    </xf>
    <xf numFmtId="49" fontId="0" fillId="10" borderId="1" xfId="0" applyNumberFormat="1" applyFill="1" applyBorder="1" applyAlignment="1">
      <alignment vertical="center"/>
    </xf>
    <xf numFmtId="165" fontId="0" fillId="0" borderId="1" xfId="0" applyNumberFormat="1" applyBorder="1" applyAlignment="1">
      <alignment vertical="center"/>
    </xf>
    <xf numFmtId="0" fontId="0" fillId="6" borderId="2" xfId="0" applyFill="1" applyBorder="1">
      <alignment vertical="top" wrapText="1"/>
    </xf>
    <xf numFmtId="49" fontId="0" fillId="11" borderId="1" xfId="0" applyNumberFormat="1" applyFill="1" applyBorder="1" applyAlignment="1">
      <alignment vertical="center"/>
    </xf>
    <xf numFmtId="49" fontId="0" fillId="12" borderId="1" xfId="0" applyNumberFormat="1" applyFill="1" applyBorder="1" applyAlignment="1">
      <alignment vertical="center"/>
    </xf>
    <xf numFmtId="165" fontId="0" fillId="6" borderId="1" xfId="0" applyNumberFormat="1" applyFill="1" applyBorder="1">
      <alignment vertical="top" wrapText="1"/>
    </xf>
    <xf numFmtId="0" fontId="0" fillId="6" borderId="3" xfId="0" applyFill="1" applyBorder="1">
      <alignment vertical="top" wrapText="1"/>
    </xf>
    <xf numFmtId="165" fontId="16" fillId="6" borderId="1" xfId="0" applyNumberFormat="1" applyFont="1" applyFill="1" applyBorder="1">
      <alignment vertical="top" wrapText="1"/>
    </xf>
    <xf numFmtId="0" fontId="0" fillId="6" borderId="4" xfId="0" applyFill="1" applyBorder="1">
      <alignment vertical="top" wrapText="1"/>
    </xf>
    <xf numFmtId="49" fontId="0" fillId="6" borderId="1" xfId="0" applyNumberFormat="1" applyFill="1" applyBorder="1" applyAlignment="1">
      <alignment horizontal="center" vertical="center"/>
    </xf>
    <xf numFmtId="49" fontId="17" fillId="7" borderId="1" xfId="0" applyNumberFormat="1" applyFont="1" applyFill="1" applyBorder="1" applyAlignment="1">
      <alignment horizontal="center" vertical="top" wrapText="1"/>
    </xf>
    <xf numFmtId="49" fontId="17" fillId="8" borderId="1" xfId="0" applyNumberFormat="1" applyFont="1" applyFill="1" applyBorder="1" applyAlignment="1">
      <alignment horizontal="center" vertical="top" wrapText="1"/>
    </xf>
    <xf numFmtId="165" fontId="0" fillId="8" borderId="1" xfId="0" applyNumberFormat="1" applyFill="1" applyBorder="1" applyAlignment="1">
      <alignment vertical="center"/>
    </xf>
    <xf numFmtId="1" fontId="5" fillId="4" borderId="1" xfId="0" applyNumberFormat="1" applyFont="1" applyFill="1" applyBorder="1" applyAlignment="1">
      <alignment horizontal="left" vertical="center" wrapText="1"/>
    </xf>
    <xf numFmtId="1" fontId="5" fillId="4" borderId="1" xfId="0" applyNumberFormat="1" applyFont="1" applyFill="1" applyBorder="1" applyAlignment="1">
      <alignment horizontal="center" vertical="center" wrapText="1"/>
    </xf>
    <xf numFmtId="1" fontId="11" fillId="8" borderId="1" xfId="0" applyNumberFormat="1" applyFont="1" applyFill="1" applyBorder="1" applyAlignment="1">
      <alignment vertical="center"/>
    </xf>
    <xf numFmtId="1" fontId="12" fillId="8" borderId="1" xfId="0" applyNumberFormat="1" applyFont="1" applyFill="1" applyBorder="1" applyAlignment="1">
      <alignment horizontal="center" vertical="center"/>
    </xf>
    <xf numFmtId="1" fontId="0" fillId="6" borderId="1" xfId="0" applyNumberFormat="1" applyFill="1" applyBorder="1" applyAlignment="1">
      <alignment horizontal="center" vertical="center"/>
    </xf>
    <xf numFmtId="164" fontId="13" fillId="8" borderId="1" xfId="0" applyNumberFormat="1" applyFont="1" applyFill="1" applyBorder="1" applyAlignment="1">
      <alignment horizontal="center" vertical="center"/>
    </xf>
    <xf numFmtId="49" fontId="14" fillId="8" borderId="1" xfId="0" applyNumberFormat="1" applyFont="1" applyFill="1" applyBorder="1" applyAlignment="1">
      <alignment horizontal="center" vertical="center"/>
    </xf>
    <xf numFmtId="165" fontId="0" fillId="7" borderId="1" xfId="0" applyNumberFormat="1" applyFill="1" applyBorder="1" applyAlignment="1">
      <alignment vertical="center"/>
    </xf>
    <xf numFmtId="165" fontId="0" fillId="4" borderId="1" xfId="0" applyNumberFormat="1" applyFill="1" applyBorder="1" applyAlignment="1">
      <alignment vertical="center"/>
    </xf>
    <xf numFmtId="1" fontId="15" fillId="8" borderId="1" xfId="0" applyNumberFormat="1" applyFont="1" applyFill="1" applyBorder="1" applyAlignment="1">
      <alignment horizontal="center" vertical="center"/>
    </xf>
    <xf numFmtId="1" fontId="0" fillId="6" borderId="1" xfId="0" applyNumberFormat="1" applyFill="1" applyBorder="1" applyAlignment="1">
      <alignment vertical="center"/>
    </xf>
    <xf numFmtId="49" fontId="0" fillId="10" borderId="1" xfId="0" applyNumberFormat="1" applyFill="1" applyBorder="1" applyAlignment="1">
      <alignment horizontal="left" vertical="center"/>
    </xf>
    <xf numFmtId="0" fontId="18" fillId="13" borderId="5" xfId="0" applyFont="1" applyFill="1" applyBorder="1">
      <alignment vertical="top" wrapText="1"/>
    </xf>
    <xf numFmtId="0" fontId="0" fillId="6" borderId="5" xfId="0" applyFill="1" applyBorder="1">
      <alignment vertical="top" wrapText="1"/>
    </xf>
    <xf numFmtId="1" fontId="0" fillId="6" borderId="5" xfId="0" applyNumberFormat="1" applyFill="1" applyBorder="1" applyAlignment="1">
      <alignment horizontal="right" vertical="center"/>
    </xf>
    <xf numFmtId="0" fontId="0" fillId="6" borderId="5" xfId="0" applyFill="1" applyBorder="1" applyAlignment="1">
      <alignment horizontal="center" vertical="center"/>
    </xf>
    <xf numFmtId="1" fontId="0" fillId="6" borderId="5" xfId="0" applyNumberFormat="1" applyFill="1" applyBorder="1" applyAlignment="1">
      <alignment vertical="center"/>
    </xf>
    <xf numFmtId="165" fontId="0" fillId="6" borderId="5" xfId="0" applyNumberFormat="1" applyFill="1" applyBorder="1" applyAlignment="1">
      <alignment vertical="center"/>
    </xf>
    <xf numFmtId="3" fontId="0" fillId="6" borderId="5" xfId="0" applyNumberFormat="1" applyFill="1" applyBorder="1" applyAlignment="1">
      <alignment horizontal="right" vertical="center"/>
    </xf>
    <xf numFmtId="49" fontId="0" fillId="11" borderId="5" xfId="0" applyNumberFormat="1" applyFill="1" applyBorder="1" applyAlignment="1">
      <alignment vertical="center"/>
    </xf>
    <xf numFmtId="49" fontId="0" fillId="7" borderId="5" xfId="0" applyNumberFormat="1" applyFill="1" applyBorder="1" applyAlignment="1">
      <alignment vertical="center"/>
    </xf>
    <xf numFmtId="0" fontId="0" fillId="6" borderId="6" xfId="0" applyFill="1" applyBorder="1">
      <alignment vertical="top" wrapText="1"/>
    </xf>
    <xf numFmtId="0" fontId="0" fillId="6" borderId="7" xfId="0" applyFill="1" applyBorder="1">
      <alignment vertical="top" wrapText="1"/>
    </xf>
    <xf numFmtId="49" fontId="11" fillId="0" borderId="1" xfId="0" applyNumberFormat="1" applyFont="1" applyBorder="1" applyAlignment="1">
      <alignment horizontal="center" vertical="center"/>
    </xf>
    <xf numFmtId="1" fontId="12" fillId="6" borderId="1" xfId="0" applyNumberFormat="1" applyFont="1" applyFill="1" applyBorder="1" applyAlignment="1">
      <alignment horizontal="center" vertical="center"/>
    </xf>
    <xf numFmtId="165" fontId="14" fillId="6" borderId="1" xfId="0" applyNumberFormat="1" applyFont="1" applyFill="1" applyBorder="1" applyAlignment="1">
      <alignment horizontal="center" vertical="center"/>
    </xf>
    <xf numFmtId="49" fontId="0" fillId="8" borderId="1" xfId="0" applyNumberFormat="1" applyFill="1" applyBorder="1" applyAlignment="1">
      <alignment horizontal="center" vertical="center"/>
    </xf>
    <xf numFmtId="165" fontId="0" fillId="14" borderId="1" xfId="0" applyNumberFormat="1" applyFill="1" applyBorder="1" applyAlignment="1">
      <alignment vertical="center"/>
    </xf>
    <xf numFmtId="49" fontId="0" fillId="10" borderId="8" xfId="0" applyNumberFormat="1" applyFill="1" applyBorder="1" applyAlignment="1">
      <alignment vertical="center"/>
    </xf>
    <xf numFmtId="49" fontId="0" fillId="10" borderId="9" xfId="0" applyNumberFormat="1" applyFill="1" applyBorder="1" applyAlignment="1">
      <alignment vertical="center"/>
    </xf>
    <xf numFmtId="165" fontId="0" fillId="6" borderId="10" xfId="0" applyNumberFormat="1" applyFill="1" applyBorder="1" applyAlignment="1">
      <alignment vertical="center"/>
    </xf>
    <xf numFmtId="49" fontId="0" fillId="10" borderId="11" xfId="0" applyNumberFormat="1" applyFill="1" applyBorder="1" applyAlignment="1">
      <alignment vertical="center"/>
    </xf>
    <xf numFmtId="0" fontId="0" fillId="6" borderId="12" xfId="0" applyFill="1" applyBorder="1">
      <alignment vertical="top" wrapText="1"/>
    </xf>
    <xf numFmtId="49" fontId="19" fillId="8" borderId="1" xfId="0" applyNumberFormat="1" applyFont="1" applyFill="1" applyBorder="1" applyAlignment="1">
      <alignment horizontal="right" vertical="center" wrapText="1"/>
    </xf>
    <xf numFmtId="49" fontId="5" fillId="8" borderId="1" xfId="0" applyNumberFormat="1" applyFont="1" applyFill="1" applyBorder="1" applyAlignment="1">
      <alignment horizontal="center" vertical="center"/>
    </xf>
    <xf numFmtId="49" fontId="0" fillId="4" borderId="1" xfId="0" applyNumberFormat="1" applyFill="1" applyBorder="1" applyAlignment="1">
      <alignment vertical="center"/>
    </xf>
    <xf numFmtId="165" fontId="0" fillId="6" borderId="13" xfId="0" applyNumberFormat="1" applyFill="1" applyBorder="1" applyAlignment="1">
      <alignment vertical="center"/>
    </xf>
    <xf numFmtId="0" fontId="0" fillId="6" borderId="14" xfId="0" applyFill="1" applyBorder="1">
      <alignment vertical="top" wrapText="1"/>
    </xf>
    <xf numFmtId="1" fontId="11" fillId="8" borderId="1" xfId="0" applyNumberFormat="1" applyFont="1" applyFill="1" applyBorder="1" applyAlignment="1">
      <alignment horizontal="center" vertical="center"/>
    </xf>
    <xf numFmtId="165" fontId="0" fillId="4" borderId="15" xfId="0" applyNumberFormat="1" applyFill="1" applyBorder="1" applyAlignment="1">
      <alignment vertical="center"/>
    </xf>
    <xf numFmtId="3" fontId="19" fillId="6" borderId="1" xfId="0" applyNumberFormat="1" applyFont="1" applyFill="1" applyBorder="1" applyAlignment="1">
      <alignment horizontal="right" vertical="center"/>
    </xf>
    <xf numFmtId="1" fontId="15" fillId="0" borderId="1" xfId="0" applyNumberFormat="1" applyFont="1" applyBorder="1" applyAlignment="1">
      <alignment horizontal="center" vertical="center" wrapText="1"/>
    </xf>
    <xf numFmtId="0" fontId="0" fillId="8" borderId="1" xfId="0" applyFill="1" applyBorder="1">
      <alignment vertical="top" wrapText="1"/>
    </xf>
    <xf numFmtId="49" fontId="0" fillId="7" borderId="1" xfId="0" applyNumberFormat="1" applyFill="1" applyBorder="1" applyAlignment="1">
      <alignment horizontal="left" vertical="center"/>
    </xf>
    <xf numFmtId="49" fontId="11" fillId="6" borderId="1" xfId="0" applyNumberFormat="1" applyFont="1" applyFill="1" applyBorder="1" applyAlignment="1">
      <alignment horizontal="center" vertical="center" wrapText="1"/>
    </xf>
    <xf numFmtId="0" fontId="11" fillId="6" borderId="1" xfId="0" applyNumberFormat="1" applyFont="1" applyFill="1" applyBorder="1" applyAlignment="1">
      <alignment horizontal="center" vertical="center" wrapText="1"/>
    </xf>
    <xf numFmtId="0" fontId="0" fillId="6" borderId="1" xfId="0" applyNumberFormat="1" applyFill="1" applyBorder="1" applyAlignment="1">
      <alignment horizontal="center" vertical="center" wrapText="1"/>
    </xf>
    <xf numFmtId="49" fontId="0" fillId="7" borderId="1" xfId="0" applyNumberFormat="1" applyFill="1" applyBorder="1" applyAlignment="1">
      <alignment horizontal="left" vertical="center" wrapText="1"/>
    </xf>
    <xf numFmtId="165" fontId="0" fillId="4" borderId="1" xfId="0" applyNumberFormat="1" applyFill="1" applyBorder="1" applyAlignment="1">
      <alignment horizontal="center" vertical="center" wrapText="1"/>
    </xf>
    <xf numFmtId="49" fontId="0" fillId="8" borderId="1" xfId="0" applyNumberFormat="1" applyFill="1" applyBorder="1" applyAlignment="1">
      <alignment horizontal="left" vertical="center" wrapText="1"/>
    </xf>
    <xf numFmtId="49" fontId="0" fillId="10" borderId="1" xfId="0" applyNumberFormat="1" applyFill="1" applyBorder="1" applyAlignment="1">
      <alignment horizontal="left" vertical="center" wrapText="1"/>
    </xf>
    <xf numFmtId="49" fontId="0" fillId="10" borderId="16" xfId="0" applyNumberFormat="1" applyFill="1" applyBorder="1" applyAlignment="1">
      <alignment horizontal="left" vertical="center" wrapText="1"/>
    </xf>
    <xf numFmtId="49" fontId="0" fillId="10" borderId="17" xfId="0" applyNumberFormat="1" applyFill="1" applyBorder="1" applyAlignment="1">
      <alignment horizontal="left" vertical="center" wrapText="1"/>
    </xf>
    <xf numFmtId="49" fontId="0" fillId="10" borderId="18" xfId="0" applyNumberFormat="1" applyFill="1" applyBorder="1" applyAlignment="1">
      <alignment horizontal="left" vertical="center" wrapText="1"/>
    </xf>
    <xf numFmtId="165" fontId="0" fillId="6" borderId="1" xfId="0" applyNumberFormat="1" applyFill="1" applyBorder="1" applyAlignment="1">
      <alignment horizontal="center" vertical="center" wrapText="1"/>
    </xf>
    <xf numFmtId="0" fontId="20" fillId="7" borderId="1" xfId="0" applyFont="1" applyFill="1" applyBorder="1">
      <alignment vertical="top" wrapText="1"/>
    </xf>
    <xf numFmtId="49" fontId="11" fillId="4" borderId="1" xfId="0" applyNumberFormat="1" applyFont="1" applyFill="1" applyBorder="1" applyAlignment="1">
      <alignment horizontal="center" vertical="center"/>
    </xf>
    <xf numFmtId="164" fontId="13" fillId="4" borderId="1" xfId="0" applyNumberFormat="1" applyFont="1" applyFill="1" applyBorder="1" applyAlignment="1">
      <alignment horizontal="center" vertical="center"/>
    </xf>
    <xf numFmtId="165" fontId="14" fillId="4" borderId="1" xfId="0" applyNumberFormat="1" applyFont="1" applyFill="1" applyBorder="1" applyAlignment="1">
      <alignment horizontal="center" vertical="center" wrapText="1"/>
    </xf>
    <xf numFmtId="1" fontId="15" fillId="4" borderId="1" xfId="0" applyNumberFormat="1" applyFont="1" applyFill="1" applyBorder="1" applyAlignment="1">
      <alignment horizontal="center" vertical="center"/>
    </xf>
    <xf numFmtId="1" fontId="11" fillId="4" borderId="1" xfId="0" applyNumberFormat="1" applyFont="1" applyFill="1" applyBorder="1" applyAlignment="1">
      <alignment horizontal="center" vertical="center"/>
    </xf>
    <xf numFmtId="1" fontId="12" fillId="4" borderId="1"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166" fontId="13" fillId="4" borderId="1" xfId="0" applyNumberFormat="1" applyFont="1" applyFill="1" applyBorder="1" applyAlignment="1">
      <alignment horizontal="center" vertical="center"/>
    </xf>
    <xf numFmtId="49" fontId="19" fillId="4" borderId="1" xfId="0" applyNumberFormat="1" applyFont="1" applyFill="1" applyBorder="1" applyAlignment="1">
      <alignment horizontal="right" vertical="center"/>
    </xf>
    <xf numFmtId="1" fontId="0" fillId="4" borderId="1" xfId="0" applyNumberFormat="1" applyFill="1" applyBorder="1" applyAlignment="1">
      <alignment vertical="center"/>
    </xf>
    <xf numFmtId="167" fontId="5" fillId="4" borderId="1" xfId="0" applyNumberFormat="1" applyFont="1" applyFill="1" applyBorder="1" applyAlignment="1">
      <alignment horizontal="center" vertical="center" wrapText="1"/>
    </xf>
    <xf numFmtId="49" fontId="18" fillId="15" borderId="1" xfId="0" applyNumberFormat="1" applyFont="1" applyFill="1" applyBorder="1" applyAlignment="1">
      <alignment horizontal="left" vertical="center" wrapText="1"/>
    </xf>
    <xf numFmtId="49" fontId="22" fillId="15" borderId="1" xfId="0" applyNumberFormat="1" applyFont="1" applyFill="1" applyBorder="1" applyAlignment="1">
      <alignment horizontal="center" vertical="center" wrapText="1"/>
    </xf>
    <xf numFmtId="49" fontId="11" fillId="15" borderId="1" xfId="0" applyNumberFormat="1" applyFont="1" applyFill="1" applyBorder="1" applyAlignment="1">
      <alignment horizontal="center" vertical="center"/>
    </xf>
    <xf numFmtId="3" fontId="19" fillId="4" borderId="1" xfId="0" applyNumberFormat="1" applyFont="1" applyFill="1" applyBorder="1" applyAlignment="1">
      <alignment horizontal="right" vertical="center" wrapText="1"/>
    </xf>
    <xf numFmtId="1" fontId="0" fillId="7" borderId="1" xfId="0" applyNumberFormat="1" applyFill="1" applyBorder="1" applyAlignment="1">
      <alignment vertical="center"/>
    </xf>
    <xf numFmtId="3" fontId="19" fillId="6" borderId="1" xfId="0" applyNumberFormat="1" applyFont="1" applyFill="1" applyBorder="1" applyAlignment="1">
      <alignment horizontal="right" vertical="center" wrapText="1"/>
    </xf>
    <xf numFmtId="49" fontId="0" fillId="16" borderId="1" xfId="0" applyNumberFormat="1" applyFill="1" applyBorder="1" applyAlignment="1">
      <alignment vertical="center"/>
    </xf>
    <xf numFmtId="49" fontId="19" fillId="6" borderId="1" xfId="0" applyNumberFormat="1" applyFont="1" applyFill="1" applyBorder="1" applyAlignment="1">
      <alignment horizontal="right" vertical="center" wrapText="1"/>
    </xf>
    <xf numFmtId="49" fontId="23" fillId="12" borderId="1" xfId="0" applyNumberFormat="1" applyFont="1" applyFill="1" applyBorder="1" applyAlignment="1">
      <alignment horizontal="center" vertical="top" wrapText="1"/>
    </xf>
    <xf numFmtId="165" fontId="14" fillId="4" borderId="1" xfId="0" applyNumberFormat="1" applyFont="1" applyFill="1" applyBorder="1" applyAlignment="1">
      <alignment horizontal="center" vertical="center"/>
    </xf>
    <xf numFmtId="49" fontId="5" fillId="6" borderId="1" xfId="0" applyNumberFormat="1" applyFont="1" applyFill="1" applyBorder="1" applyAlignment="1">
      <alignment horizontal="center" vertical="center"/>
    </xf>
    <xf numFmtId="1" fontId="11" fillId="6" borderId="1" xfId="0" applyNumberFormat="1" applyFont="1" applyFill="1" applyBorder="1" applyAlignment="1">
      <alignment horizontal="center" vertical="center"/>
    </xf>
    <xf numFmtId="49" fontId="0" fillId="6" borderId="1" xfId="0" applyNumberFormat="1" applyFill="1" applyBorder="1" applyAlignment="1">
      <alignment horizontal="center"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4" borderId="1" xfId="0" applyFill="1" applyBorder="1" applyAlignment="1">
      <alignment horizontal="center" vertical="center"/>
    </xf>
    <xf numFmtId="3" fontId="0" fillId="4" borderId="1" xfId="0" applyNumberFormat="1" applyFill="1" applyBorder="1" applyAlignment="1">
      <alignment horizontal="right" vertical="center"/>
    </xf>
    <xf numFmtId="165" fontId="0" fillId="4" borderId="8" xfId="0" applyNumberFormat="1" applyFill="1" applyBorder="1" applyAlignment="1">
      <alignment vertical="center"/>
    </xf>
    <xf numFmtId="49" fontId="0" fillId="10" borderId="19" xfId="0" applyNumberFormat="1" applyFill="1" applyBorder="1" applyAlignment="1">
      <alignment vertical="center"/>
    </xf>
    <xf numFmtId="165" fontId="14" fillId="0" borderId="1" xfId="0" applyNumberFormat="1" applyFont="1" applyBorder="1" applyAlignment="1">
      <alignment horizontal="center" vertical="center"/>
    </xf>
    <xf numFmtId="49" fontId="0" fillId="10" borderId="20" xfId="0" applyNumberFormat="1" applyFill="1" applyBorder="1" applyAlignment="1">
      <alignment vertical="center"/>
    </xf>
    <xf numFmtId="49" fontId="5" fillId="4" borderId="21" xfId="0" applyNumberFormat="1" applyFont="1" applyFill="1" applyBorder="1" applyAlignment="1">
      <alignment horizontal="left" vertical="center" wrapText="1"/>
    </xf>
    <xf numFmtId="49" fontId="0" fillId="8" borderId="1" xfId="0" applyNumberFormat="1" applyFill="1" applyBorder="1" applyAlignment="1">
      <alignment horizontal="left" vertical="center"/>
    </xf>
    <xf numFmtId="49" fontId="0" fillId="10" borderId="22" xfId="0" applyNumberFormat="1" applyFill="1" applyBorder="1" applyAlignment="1">
      <alignment vertical="center"/>
    </xf>
    <xf numFmtId="49" fontId="5" fillId="4" borderId="23" xfId="0" applyNumberFormat="1" applyFont="1" applyFill="1" applyBorder="1" applyAlignment="1">
      <alignment horizontal="left" vertical="center" wrapText="1"/>
    </xf>
    <xf numFmtId="49" fontId="5" fillId="4" borderId="24" xfId="0" applyNumberFormat="1" applyFont="1" applyFill="1" applyBorder="1" applyAlignment="1">
      <alignment horizontal="center" vertical="center" wrapText="1"/>
    </xf>
    <xf numFmtId="49" fontId="0" fillId="10" borderId="15" xfId="0" applyNumberFormat="1" applyFill="1" applyBorder="1" applyAlignment="1">
      <alignment vertical="center"/>
    </xf>
    <xf numFmtId="49" fontId="5" fillId="4" borderId="25" xfId="0" applyNumberFormat="1" applyFont="1" applyFill="1" applyBorder="1" applyAlignment="1">
      <alignment horizontal="left" vertical="center" wrapText="1"/>
    </xf>
    <xf numFmtId="49" fontId="5" fillId="4" borderId="21" xfId="0" applyNumberFormat="1" applyFont="1" applyFill="1" applyBorder="1" applyAlignment="1">
      <alignment horizontal="center" vertical="center" wrapText="1"/>
    </xf>
    <xf numFmtId="49" fontId="0" fillId="8" borderId="1" xfId="0" applyNumberFormat="1" applyFill="1" applyBorder="1">
      <alignment vertical="top" wrapText="1"/>
    </xf>
    <xf numFmtId="49" fontId="5" fillId="4" borderId="26" xfId="0" applyNumberFormat="1" applyFont="1" applyFill="1" applyBorder="1" applyAlignment="1">
      <alignment horizontal="left" vertical="center" wrapText="1"/>
    </xf>
    <xf numFmtId="49" fontId="5" fillId="4" borderId="27" xfId="0" applyNumberFormat="1" applyFont="1" applyFill="1" applyBorder="1" applyAlignment="1">
      <alignment horizontal="center" vertical="center" wrapText="1"/>
    </xf>
    <xf numFmtId="49" fontId="11" fillId="6" borderId="24" xfId="0" applyNumberFormat="1" applyFont="1" applyFill="1" applyBorder="1" applyAlignment="1">
      <alignment horizontal="center" vertical="center"/>
    </xf>
    <xf numFmtId="1" fontId="14" fillId="4" borderId="1" xfId="0" applyNumberFormat="1" applyFont="1" applyFill="1" applyBorder="1" applyAlignment="1">
      <alignment horizontal="center" vertical="center"/>
    </xf>
    <xf numFmtId="0" fontId="12" fillId="4" borderId="1" xfId="0" applyFont="1" applyFill="1" applyBorder="1" applyAlignment="1">
      <alignment horizontal="center" vertical="center"/>
    </xf>
    <xf numFmtId="1" fontId="13" fillId="4" borderId="1" xfId="0" applyNumberFormat="1" applyFont="1" applyFill="1" applyBorder="1" applyAlignment="1">
      <alignment horizontal="center" vertical="center"/>
    </xf>
    <xf numFmtId="0" fontId="14" fillId="4" borderId="1" xfId="0" applyFont="1" applyFill="1" applyBorder="1" applyAlignment="1">
      <alignment horizontal="center" vertical="center"/>
    </xf>
    <xf numFmtId="49" fontId="0" fillId="4" borderId="1" xfId="0" applyNumberFormat="1" applyFill="1" applyBorder="1" applyAlignment="1">
      <alignment horizontal="center" vertical="center"/>
    </xf>
    <xf numFmtId="0" fontId="0" fillId="4" borderId="8" xfId="0" applyFill="1" applyBorder="1" applyAlignment="1">
      <alignment horizontal="center" vertical="center"/>
    </xf>
    <xf numFmtId="0" fontId="0" fillId="4" borderId="15" xfId="0" applyFill="1" applyBorder="1" applyAlignment="1">
      <alignment horizontal="center" vertical="center"/>
    </xf>
    <xf numFmtId="0" fontId="18" fillId="4" borderId="1" xfId="0" applyFont="1" applyFill="1" applyBorder="1" applyAlignment="1">
      <alignment horizontal="center" vertical="center"/>
    </xf>
    <xf numFmtId="49" fontId="0" fillId="4" borderId="15" xfId="0" applyNumberFormat="1" applyFill="1" applyBorder="1" applyAlignment="1">
      <alignment vertical="center"/>
    </xf>
    <xf numFmtId="49" fontId="6" fillId="4" borderId="1" xfId="0" applyNumberFormat="1" applyFont="1" applyFill="1" applyBorder="1" applyAlignment="1">
      <alignment horizontal="left" vertical="center" wrapText="1"/>
    </xf>
    <xf numFmtId="49" fontId="14" fillId="4" borderId="1" xfId="0" applyNumberFormat="1" applyFont="1" applyFill="1" applyBorder="1" applyAlignment="1">
      <alignment horizontal="center" vertical="center"/>
    </xf>
    <xf numFmtId="0" fontId="18" fillId="6" borderId="1" xfId="0" applyFont="1" applyFill="1" applyBorder="1" applyAlignment="1">
      <alignment horizontal="center" vertical="center"/>
    </xf>
    <xf numFmtId="49" fontId="0" fillId="10" borderId="1" xfId="0" applyNumberFormat="1" applyFill="1" applyBorder="1" applyAlignment="1">
      <alignment horizontal="center" vertical="center"/>
    </xf>
    <xf numFmtId="165" fontId="0" fillId="0" borderId="1" xfId="0" applyNumberFormat="1" applyBorder="1" applyAlignment="1">
      <alignment horizontal="center" vertical="center"/>
    </xf>
    <xf numFmtId="1" fontId="12" fillId="0" borderId="1" xfId="0" applyNumberFormat="1" applyFont="1" applyBorder="1" applyAlignment="1">
      <alignment horizontal="center" vertical="center"/>
    </xf>
    <xf numFmtId="0" fontId="0" fillId="0" borderId="1" xfId="0" applyBorder="1" applyAlignment="1">
      <alignment horizontal="center" vertical="center"/>
    </xf>
    <xf numFmtId="0" fontId="18" fillId="0" borderId="1" xfId="0" applyFon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vertical="center"/>
    </xf>
    <xf numFmtId="0" fontId="1" fillId="6" borderId="1" xfId="0" applyFont="1" applyFill="1" applyBorder="1" applyAlignment="1">
      <alignment horizontal="center" vertical="center"/>
    </xf>
    <xf numFmtId="165" fontId="0" fillId="6" borderId="1" xfId="0" applyNumberFormat="1" applyFill="1" applyBorder="1" applyAlignment="1">
      <alignment horizontal="center" vertical="center"/>
    </xf>
    <xf numFmtId="165" fontId="18" fillId="6" borderId="1" xfId="0" applyNumberFormat="1" applyFont="1" applyFill="1" applyBorder="1" applyAlignment="1">
      <alignment horizontal="center" vertical="center"/>
    </xf>
    <xf numFmtId="49" fontId="24" fillId="17" borderId="1" xfId="0" applyNumberFormat="1" applyFont="1" applyFill="1" applyBorder="1" applyAlignment="1">
      <alignment horizontal="center" vertical="center"/>
    </xf>
    <xf numFmtId="49" fontId="24" fillId="8" borderId="1" xfId="0" applyNumberFormat="1" applyFont="1" applyFill="1" applyBorder="1" applyAlignment="1">
      <alignment horizontal="center" vertical="center"/>
    </xf>
    <xf numFmtId="165" fontId="18" fillId="8" borderId="1" xfId="0" applyNumberFormat="1" applyFont="1" applyFill="1" applyBorder="1" applyAlignment="1">
      <alignment horizontal="center" vertical="center"/>
    </xf>
    <xf numFmtId="165" fontId="0" fillId="17" borderId="1" xfId="0" applyNumberFormat="1" applyFill="1" applyBorder="1" applyAlignment="1">
      <alignment vertical="center"/>
    </xf>
    <xf numFmtId="49" fontId="5" fillId="17" borderId="1" xfId="0" applyNumberFormat="1" applyFont="1" applyFill="1" applyBorder="1" applyAlignment="1">
      <alignment horizontal="right" vertical="center"/>
    </xf>
    <xf numFmtId="165" fontId="0" fillId="17" borderId="1" xfId="0" applyNumberFormat="1" applyFill="1" applyBorder="1">
      <alignment vertical="top" wrapText="1"/>
    </xf>
    <xf numFmtId="49" fontId="25" fillId="4" borderId="1" xfId="0" applyNumberFormat="1" applyFont="1" applyFill="1" applyBorder="1" applyAlignment="1">
      <alignment horizontal="right" vertical="center" wrapText="1"/>
    </xf>
    <xf numFmtId="49" fontId="26" fillId="8" borderId="1" xfId="0" applyNumberFormat="1" applyFont="1" applyFill="1" applyBorder="1" applyAlignment="1">
      <alignment horizontal="right" vertical="center"/>
    </xf>
    <xf numFmtId="49" fontId="5" fillId="4" borderId="1" xfId="0" applyNumberFormat="1" applyFont="1" applyFill="1" applyBorder="1" applyAlignment="1">
      <alignment horizontal="right" vertical="center" wrapText="1"/>
    </xf>
    <xf numFmtId="49" fontId="5" fillId="4" borderId="1" xfId="0" applyNumberFormat="1" applyFont="1" applyFill="1" applyBorder="1" applyAlignment="1">
      <alignment horizontal="right" vertical="center"/>
    </xf>
    <xf numFmtId="165" fontId="0" fillId="6" borderId="1" xfId="0" applyNumberFormat="1" applyFill="1" applyBorder="1" applyAlignment="1">
      <alignment horizontal="right" vertical="center"/>
    </xf>
    <xf numFmtId="0" fontId="18" fillId="4" borderId="28" xfId="0" applyFont="1" applyFill="1" applyBorder="1">
      <alignment vertical="top" wrapText="1"/>
    </xf>
    <xf numFmtId="165" fontId="19" fillId="6" borderId="1" xfId="0" applyNumberFormat="1" applyFont="1" applyFill="1" applyBorder="1" applyAlignment="1">
      <alignment horizontal="center" vertical="center"/>
    </xf>
    <xf numFmtId="49" fontId="27" fillId="4" borderId="1" xfId="0" applyNumberFormat="1" applyFont="1" applyFill="1" applyBorder="1" applyAlignment="1">
      <alignment horizontal="right" vertical="center" wrapText="1"/>
    </xf>
    <xf numFmtId="165" fontId="6" fillId="8" borderId="1" xfId="0" applyNumberFormat="1" applyFont="1" applyFill="1" applyBorder="1" applyAlignment="1">
      <alignment horizontal="center" vertical="center"/>
    </xf>
    <xf numFmtId="49" fontId="5" fillId="8" borderId="1" xfId="0" applyNumberFormat="1" applyFont="1" applyFill="1" applyBorder="1" applyAlignment="1">
      <alignment horizontal="right" vertical="center"/>
    </xf>
    <xf numFmtId="165" fontId="0" fillId="4" borderId="1" xfId="0" applyNumberFormat="1" applyFill="1" applyBorder="1" applyAlignment="1">
      <alignment horizontal="right" vertical="center"/>
    </xf>
    <xf numFmtId="165" fontId="18" fillId="18" borderId="1" xfId="0" applyNumberFormat="1" applyFont="1" applyFill="1" applyBorder="1" applyAlignment="1">
      <alignment vertical="center"/>
    </xf>
    <xf numFmtId="165" fontId="0" fillId="19" borderId="1" xfId="0" applyNumberFormat="1" applyFill="1" applyBorder="1" applyAlignment="1">
      <alignment vertical="center"/>
    </xf>
    <xf numFmtId="165" fontId="0" fillId="18" borderId="1" xfId="0" applyNumberFormat="1" applyFill="1" applyBorder="1" applyAlignment="1">
      <alignment vertical="center"/>
    </xf>
    <xf numFmtId="49" fontId="9" fillId="4" borderId="1" xfId="0" applyNumberFormat="1" applyFont="1" applyFill="1" applyBorder="1" applyAlignment="1">
      <alignment horizontal="center" vertical="center"/>
    </xf>
    <xf numFmtId="0" fontId="5" fillId="4" borderId="29" xfId="0" applyFont="1" applyFill="1" applyBorder="1" applyAlignment="1">
      <alignment horizontal="center" vertical="center" wrapText="1"/>
    </xf>
    <xf numFmtId="0" fontId="1" fillId="6" borderId="30" xfId="0" applyFont="1" applyFill="1" applyBorder="1" applyAlignment="1">
      <alignment horizontal="center" vertical="center"/>
    </xf>
    <xf numFmtId="0" fontId="1" fillId="6" borderId="31" xfId="0" applyFont="1" applyFill="1" applyBorder="1" applyAlignment="1">
      <alignment horizontal="center" vertical="center"/>
    </xf>
    <xf numFmtId="1" fontId="0" fillId="6" borderId="31" xfId="0" applyNumberFormat="1" applyFill="1" applyBorder="1" applyAlignment="1">
      <alignment vertical="center"/>
    </xf>
    <xf numFmtId="0" fontId="0" fillId="6" borderId="31" xfId="0" applyFill="1" applyBorder="1" applyAlignment="1">
      <alignment horizontal="center" vertical="center"/>
    </xf>
    <xf numFmtId="165" fontId="0" fillId="0" borderId="31" xfId="0" applyNumberFormat="1" applyBorder="1" applyAlignment="1">
      <alignment horizontal="center" vertical="center"/>
    </xf>
    <xf numFmtId="0" fontId="19" fillId="6" borderId="1" xfId="0" applyFont="1" applyFill="1" applyBorder="1" applyAlignment="1">
      <alignment horizontal="center" vertical="center"/>
    </xf>
    <xf numFmtId="0" fontId="1" fillId="6" borderId="32" xfId="0" applyFont="1" applyFill="1" applyBorder="1" applyAlignment="1">
      <alignment horizontal="center" vertical="center"/>
    </xf>
    <xf numFmtId="1" fontId="0" fillId="6" borderId="32" xfId="0" applyNumberFormat="1" applyFill="1" applyBorder="1" applyAlignment="1">
      <alignment vertical="center"/>
    </xf>
    <xf numFmtId="0" fontId="0" fillId="6" borderId="32" xfId="0" applyFill="1" applyBorder="1" applyAlignment="1">
      <alignment horizontal="center" vertical="center"/>
    </xf>
    <xf numFmtId="165" fontId="0" fillId="0" borderId="32" xfId="0" applyNumberFormat="1" applyBorder="1" applyAlignment="1">
      <alignment horizontal="center" vertical="center"/>
    </xf>
    <xf numFmtId="49" fontId="6" fillId="8" borderId="1" xfId="0" applyNumberFormat="1" applyFont="1" applyFill="1" applyBorder="1" applyAlignment="1">
      <alignment horizontal="right" vertical="center"/>
    </xf>
    <xf numFmtId="49" fontId="5" fillId="4" borderId="1" xfId="0" applyNumberFormat="1" applyFont="1" applyFill="1" applyBorder="1" applyAlignment="1">
      <alignment horizontal="left" vertical="center"/>
    </xf>
    <xf numFmtId="165" fontId="18" fillId="6" borderId="1" xfId="0" applyNumberFormat="1" applyFont="1" applyFill="1" applyBorder="1" applyAlignment="1">
      <alignment vertical="center"/>
    </xf>
    <xf numFmtId="165" fontId="18" fillId="20" borderId="1" xfId="0" applyNumberFormat="1" applyFont="1" applyFill="1" applyBorder="1" applyAlignment="1">
      <alignment vertical="center"/>
    </xf>
    <xf numFmtId="165" fontId="0" fillId="21" borderId="1" xfId="0" applyNumberFormat="1" applyFill="1" applyBorder="1" applyAlignment="1">
      <alignment vertical="center"/>
    </xf>
    <xf numFmtId="165" fontId="0" fillId="20" borderId="1" xfId="0" applyNumberFormat="1" applyFill="1" applyBorder="1" applyAlignment="1">
      <alignment vertical="center"/>
    </xf>
    <xf numFmtId="165" fontId="1" fillId="0" borderId="1" xfId="0" applyNumberFormat="1" applyFont="1" applyBorder="1" applyAlignment="1">
      <alignment horizontal="center" vertical="center"/>
    </xf>
    <xf numFmtId="165" fontId="5" fillId="8" borderId="1" xfId="0" applyNumberFormat="1" applyFont="1" applyFill="1" applyBorder="1" applyAlignment="1">
      <alignment horizontal="center" vertical="center"/>
    </xf>
    <xf numFmtId="165" fontId="18" fillId="8" borderId="1" xfId="0" applyNumberFormat="1" applyFont="1" applyFill="1" applyBorder="1" applyAlignment="1">
      <alignment vertical="center"/>
    </xf>
    <xf numFmtId="0" fontId="25" fillId="4" borderId="1" xfId="0" applyFont="1" applyFill="1" applyBorder="1" applyAlignment="1">
      <alignment horizontal="right" vertical="center" wrapText="1"/>
    </xf>
    <xf numFmtId="0" fontId="26" fillId="8" borderId="1" xfId="0" applyFont="1" applyFill="1" applyBorder="1" applyAlignment="1">
      <alignment horizontal="left" vertical="center"/>
    </xf>
    <xf numFmtId="49" fontId="0" fillId="6" borderId="1" xfId="0" applyNumberFormat="1" applyFill="1" applyBorder="1" applyAlignment="1">
      <alignment vertical="center"/>
    </xf>
    <xf numFmtId="0" fontId="0" fillId="6" borderId="1" xfId="0" applyFill="1" applyBorder="1" applyAlignment="1">
      <alignment vertical="center"/>
    </xf>
    <xf numFmtId="165" fontId="0" fillId="6" borderId="31" xfId="0" applyNumberFormat="1" applyFill="1" applyBorder="1" applyAlignment="1">
      <alignment horizontal="center" vertical="center"/>
    </xf>
    <xf numFmtId="49" fontId="26" fillId="8" borderId="1" xfId="0" applyNumberFormat="1" applyFont="1" applyFill="1" applyBorder="1" applyAlignment="1">
      <alignment horizontal="left" vertical="center"/>
    </xf>
    <xf numFmtId="0" fontId="1" fillId="6" borderId="33" xfId="0" applyFont="1" applyFill="1" applyBorder="1" applyAlignment="1">
      <alignment horizontal="center" vertical="center"/>
    </xf>
    <xf numFmtId="0" fontId="1" fillId="6" borderId="34" xfId="0" applyFont="1" applyFill="1" applyBorder="1" applyAlignment="1">
      <alignment horizontal="center" vertical="center"/>
    </xf>
    <xf numFmtId="1" fontId="0" fillId="6" borderId="34" xfId="0" applyNumberFormat="1" applyFill="1" applyBorder="1" applyAlignment="1">
      <alignment vertical="center"/>
    </xf>
    <xf numFmtId="0" fontId="0" fillId="6" borderId="34" xfId="0" applyFill="1" applyBorder="1" applyAlignment="1">
      <alignment horizontal="center" vertical="center"/>
    </xf>
    <xf numFmtId="165" fontId="0" fillId="6" borderId="35" xfId="0" applyNumberFormat="1" applyFill="1" applyBorder="1" applyAlignment="1">
      <alignment horizontal="center" vertical="center"/>
    </xf>
    <xf numFmtId="165" fontId="0" fillId="6" borderId="36" xfId="0" applyNumberFormat="1" applyFill="1" applyBorder="1" applyAlignment="1">
      <alignment vertical="center"/>
    </xf>
    <xf numFmtId="3" fontId="0" fillId="6" borderId="36" xfId="0" applyNumberFormat="1" applyFill="1" applyBorder="1" applyAlignment="1">
      <alignment horizontal="right" vertical="center"/>
    </xf>
    <xf numFmtId="49" fontId="5" fillId="8" borderId="37" xfId="0" applyNumberFormat="1" applyFont="1" applyFill="1" applyBorder="1" applyAlignment="1">
      <alignment horizontal="left" vertical="center"/>
    </xf>
    <xf numFmtId="165" fontId="0" fillId="8" borderId="1" xfId="0" applyNumberFormat="1" applyFill="1" applyBorder="1" applyAlignment="1">
      <alignment horizontal="left" vertical="center"/>
    </xf>
    <xf numFmtId="165" fontId="18" fillId="22" borderId="1" xfId="0" applyNumberFormat="1" applyFont="1" applyFill="1" applyBorder="1" applyAlignment="1">
      <alignment vertical="center"/>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1" fontId="0" fillId="4" borderId="38" xfId="0" applyNumberFormat="1" applyFill="1" applyBorder="1" applyAlignment="1">
      <alignment vertical="center"/>
    </xf>
    <xf numFmtId="0" fontId="0" fillId="4" borderId="38" xfId="0" applyFill="1" applyBorder="1" applyAlignment="1">
      <alignment horizontal="center" vertical="center"/>
    </xf>
    <xf numFmtId="165" fontId="0" fillId="4" borderId="35" xfId="0" applyNumberFormat="1" applyFill="1" applyBorder="1" applyAlignment="1">
      <alignment horizontal="center" vertical="center"/>
    </xf>
    <xf numFmtId="165" fontId="18" fillId="4" borderId="30" xfId="0" applyNumberFormat="1" applyFont="1" applyFill="1" applyBorder="1" applyAlignment="1">
      <alignment horizontal="center" vertical="center"/>
    </xf>
    <xf numFmtId="0" fontId="5" fillId="23" borderId="29" xfId="0" applyFont="1" applyFill="1" applyBorder="1" applyAlignment="1">
      <alignment horizontal="left" vertical="center" wrapText="1"/>
    </xf>
    <xf numFmtId="0" fontId="5" fillId="23" borderId="37" xfId="0" applyFont="1" applyFill="1" applyBorder="1" applyAlignment="1">
      <alignment horizontal="center" vertical="center" wrapText="1"/>
    </xf>
    <xf numFmtId="1" fontId="0" fillId="6" borderId="39" xfId="0" applyNumberFormat="1" applyFill="1" applyBorder="1" applyAlignment="1">
      <alignment vertical="center"/>
    </xf>
    <xf numFmtId="0" fontId="0" fillId="6" borderId="39" xfId="0" applyFill="1" applyBorder="1" applyAlignment="1">
      <alignment horizontal="center" vertical="center"/>
    </xf>
    <xf numFmtId="0" fontId="0" fillId="6" borderId="32" xfId="0" applyFill="1" applyBorder="1" applyAlignment="1">
      <alignment vertical="center"/>
    </xf>
    <xf numFmtId="0" fontId="0" fillId="6" borderId="40" xfId="0" applyFill="1" applyBorder="1" applyAlignment="1">
      <alignment vertical="center"/>
    </xf>
    <xf numFmtId="0" fontId="0" fillId="6" borderId="36" xfId="0" applyFill="1" applyBorder="1" applyAlignment="1">
      <alignment vertical="center"/>
    </xf>
    <xf numFmtId="0" fontId="0" fillId="6" borderId="37" xfId="0" applyFill="1" applyBorder="1" applyAlignment="1">
      <alignment vertical="center"/>
    </xf>
    <xf numFmtId="165" fontId="18" fillId="6" borderId="29" xfId="0" applyNumberFormat="1" applyFont="1" applyFill="1" applyBorder="1" applyAlignment="1">
      <alignment horizontal="center" vertical="center"/>
    </xf>
    <xf numFmtId="165" fontId="0" fillId="6" borderId="37" xfId="0" applyNumberFormat="1" applyFill="1" applyBorder="1" applyAlignment="1">
      <alignment vertical="center"/>
    </xf>
    <xf numFmtId="0" fontId="5" fillId="23" borderId="1" xfId="0" applyFont="1" applyFill="1" applyBorder="1" applyAlignment="1">
      <alignment horizontal="left" vertical="center" wrapText="1"/>
    </xf>
    <xf numFmtId="0" fontId="5" fillId="23" borderId="1" xfId="0" applyFont="1" applyFill="1" applyBorder="1" applyAlignment="1">
      <alignment horizontal="center" vertical="center" wrapText="1"/>
    </xf>
    <xf numFmtId="0" fontId="0" fillId="24" borderId="1" xfId="0" applyFill="1" applyBorder="1" applyAlignment="1">
      <alignment horizontal="center" vertical="center"/>
    </xf>
    <xf numFmtId="165" fontId="18" fillId="24" borderId="1" xfId="0" applyNumberFormat="1" applyFont="1" applyFill="1" applyBorder="1" applyAlignment="1">
      <alignment horizontal="center" vertical="center"/>
    </xf>
    <xf numFmtId="165" fontId="0" fillId="24" borderId="1" xfId="0" applyNumberFormat="1" applyFill="1" applyBorder="1" applyAlignment="1">
      <alignment vertical="center"/>
    </xf>
    <xf numFmtId="49" fontId="0" fillId="24" borderId="1" xfId="0" applyNumberFormat="1" applyFill="1" applyBorder="1" applyAlignment="1">
      <alignment vertical="center"/>
    </xf>
    <xf numFmtId="0" fontId="9" fillId="24" borderId="1" xfId="0" applyFont="1" applyFill="1" applyBorder="1" applyAlignment="1">
      <alignment horizontal="center" vertical="center"/>
    </xf>
    <xf numFmtId="49" fontId="5" fillId="23" borderId="1" xfId="0" applyNumberFormat="1" applyFont="1" applyFill="1" applyBorder="1" applyAlignment="1">
      <alignment horizontal="left" vertical="center" wrapText="1"/>
    </xf>
    <xf numFmtId="49" fontId="5" fillId="23"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xf>
    <xf numFmtId="1" fontId="18" fillId="6" borderId="1" xfId="0" applyNumberFormat="1" applyFont="1" applyFill="1" applyBorder="1" applyAlignment="1">
      <alignment horizontal="center" vertical="center"/>
    </xf>
    <xf numFmtId="49" fontId="28" fillId="6" borderId="1" xfId="0" applyNumberFormat="1" applyFont="1" applyFill="1" applyBorder="1" applyAlignment="1">
      <alignment vertical="center"/>
    </xf>
    <xf numFmtId="0" fontId="9" fillId="6" borderId="1" xfId="0" applyFont="1" applyFill="1" applyBorder="1" applyAlignment="1">
      <alignment horizontal="center" vertical="center"/>
    </xf>
    <xf numFmtId="0" fontId="5" fillId="23" borderId="1" xfId="0" applyFont="1" applyFill="1" applyBorder="1" applyAlignment="1">
      <alignment horizontal="right" vertical="center"/>
    </xf>
    <xf numFmtId="0" fontId="1" fillId="6" borderId="29" xfId="0" applyFont="1" applyFill="1" applyBorder="1" applyAlignment="1">
      <alignment horizontal="center" vertical="center"/>
    </xf>
    <xf numFmtId="0" fontId="1" fillId="6" borderId="36" xfId="0" applyFont="1" applyFill="1" applyBorder="1" applyAlignment="1">
      <alignment horizontal="center" vertical="center"/>
    </xf>
    <xf numFmtId="1" fontId="0" fillId="6" borderId="36" xfId="0" applyNumberFormat="1" applyFill="1" applyBorder="1" applyAlignment="1">
      <alignment horizontal="right" vertical="center"/>
    </xf>
    <xf numFmtId="1" fontId="0" fillId="6" borderId="37" xfId="0" applyNumberFormat="1" applyFill="1" applyBorder="1" applyAlignment="1">
      <alignment vertical="center"/>
    </xf>
    <xf numFmtId="0" fontId="0" fillId="24" borderId="29" xfId="0" applyFill="1" applyBorder="1" applyAlignment="1">
      <alignment horizontal="center" vertical="center"/>
    </xf>
    <xf numFmtId="165" fontId="0" fillId="6" borderId="37" xfId="0" applyNumberFormat="1" applyFill="1" applyBorder="1" applyAlignment="1">
      <alignment horizontal="center" vertical="center"/>
    </xf>
    <xf numFmtId="165" fontId="18" fillId="4" borderId="1" xfId="0" applyNumberFormat="1" applyFont="1" applyFill="1" applyBorder="1" applyAlignment="1">
      <alignment horizontal="center" vertical="center"/>
    </xf>
    <xf numFmtId="49" fontId="6" fillId="4" borderId="1" xfId="0" applyNumberFormat="1" applyFont="1" applyFill="1" applyBorder="1" applyAlignment="1">
      <alignment horizontal="right" vertical="center"/>
    </xf>
    <xf numFmtId="165" fontId="0" fillId="4" borderId="37" xfId="0" applyNumberFormat="1" applyFill="1" applyBorder="1" applyAlignment="1">
      <alignment horizontal="center" vertical="center"/>
    </xf>
    <xf numFmtId="165" fontId="18" fillId="21" borderId="1" xfId="0" applyNumberFormat="1" applyFont="1" applyFill="1" applyBorder="1" applyAlignment="1">
      <alignment vertical="center"/>
    </xf>
    <xf numFmtId="0" fontId="6" fillId="23" borderId="1" xfId="0" applyFont="1" applyFill="1" applyBorder="1" applyAlignment="1">
      <alignment horizontal="right" vertical="center"/>
    </xf>
    <xf numFmtId="49" fontId="29" fillId="4" borderId="1" xfId="0" applyNumberFormat="1" applyFont="1" applyFill="1" applyBorder="1" applyAlignment="1">
      <alignment horizontal="right" vertical="center"/>
    </xf>
    <xf numFmtId="0" fontId="5" fillId="23" borderId="29" xfId="0" applyFont="1" applyFill="1" applyBorder="1" applyAlignment="1">
      <alignment horizontal="center" vertical="center" wrapText="1"/>
    </xf>
    <xf numFmtId="0" fontId="26" fillId="6" borderId="1" xfId="0" applyFont="1" applyFill="1" applyBorder="1" applyAlignment="1">
      <alignment horizontal="left" vertical="center"/>
    </xf>
    <xf numFmtId="0" fontId="25" fillId="23" borderId="1" xfId="0" applyFont="1" applyFill="1" applyBorder="1" applyAlignment="1">
      <alignment horizontal="left" vertical="center" wrapText="1"/>
    </xf>
    <xf numFmtId="49" fontId="25" fillId="23" borderId="1" xfId="0" applyNumberFormat="1" applyFont="1" applyFill="1" applyBorder="1" applyAlignment="1">
      <alignment horizontal="left" vertical="center"/>
    </xf>
    <xf numFmtId="49" fontId="5" fillId="8" borderId="1" xfId="0" applyNumberFormat="1" applyFont="1" applyFill="1" applyBorder="1" applyAlignment="1">
      <alignment horizontal="left" vertical="center"/>
    </xf>
    <xf numFmtId="0" fontId="5" fillId="6" borderId="1" xfId="0" applyFont="1" applyFill="1" applyBorder="1" applyAlignment="1">
      <alignment horizontal="left" vertical="center"/>
    </xf>
    <xf numFmtId="49" fontId="0" fillId="6" borderId="1" xfId="0" applyNumberFormat="1" applyFill="1" applyBorder="1" applyAlignment="1">
      <alignment horizontal="left" vertical="center"/>
    </xf>
    <xf numFmtId="49" fontId="5" fillId="23" borderId="1" xfId="0" applyNumberFormat="1" applyFont="1" applyFill="1" applyBorder="1" applyAlignment="1">
      <alignment horizontal="right" vertical="center"/>
    </xf>
    <xf numFmtId="49" fontId="5" fillId="6" borderId="1" xfId="0" applyNumberFormat="1" applyFont="1" applyFill="1" applyBorder="1" applyAlignment="1">
      <alignment horizontal="right" vertical="center"/>
    </xf>
    <xf numFmtId="0" fontId="0" fillId="6" borderId="1" xfId="0" applyFill="1" applyBorder="1">
      <alignment vertical="top" wrapText="1"/>
    </xf>
    <xf numFmtId="0" fontId="1" fillId="6" borderId="37" xfId="0" applyFont="1" applyFill="1" applyBorder="1" applyAlignment="1">
      <alignment horizontal="center" vertical="center"/>
    </xf>
    <xf numFmtId="165" fontId="0" fillId="6" borderId="41" xfId="0" applyNumberFormat="1" applyFill="1" applyBorder="1">
      <alignment vertical="top" wrapText="1"/>
    </xf>
    <xf numFmtId="165" fontId="0" fillId="6" borderId="5" xfId="0" applyNumberFormat="1" applyFill="1" applyBorder="1">
      <alignment vertical="top" wrapText="1"/>
    </xf>
    <xf numFmtId="165" fontId="0" fillId="6" borderId="42" xfId="0" applyNumberFormat="1" applyFill="1" applyBorder="1">
      <alignment vertical="top" wrapText="1"/>
    </xf>
    <xf numFmtId="165" fontId="0" fillId="6" borderId="43" xfId="0" applyNumberFormat="1" applyFill="1" applyBorder="1">
      <alignment vertical="top" wrapText="1"/>
    </xf>
    <xf numFmtId="49" fontId="30" fillId="23" borderId="1" xfId="0" applyNumberFormat="1" applyFont="1" applyFill="1" applyBorder="1" applyAlignment="1">
      <alignment horizontal="center" vertical="center" wrapText="1"/>
    </xf>
    <xf numFmtId="0" fontId="0" fillId="6" borderId="31" xfId="0" applyFill="1" applyBorder="1" applyAlignment="1">
      <alignment vertical="center"/>
    </xf>
    <xf numFmtId="0" fontId="1" fillId="6" borderId="44" xfId="0" applyFont="1" applyFill="1" applyBorder="1" applyAlignment="1">
      <alignment horizontal="center" vertical="center"/>
    </xf>
    <xf numFmtId="1" fontId="0" fillId="6" borderId="33" xfId="0" applyNumberFormat="1" applyFill="1" applyBorder="1" applyAlignment="1">
      <alignment vertical="center"/>
    </xf>
    <xf numFmtId="165" fontId="0" fillId="6" borderId="34" xfId="0" applyNumberFormat="1" applyFill="1" applyBorder="1" applyAlignment="1">
      <alignment horizontal="center" vertical="center"/>
    </xf>
    <xf numFmtId="165" fontId="0" fillId="6" borderId="32" xfId="0" applyNumberFormat="1" applyFill="1" applyBorder="1" applyAlignment="1">
      <alignment horizontal="center" vertical="center"/>
    </xf>
    <xf numFmtId="0" fontId="31" fillId="23" borderId="1" xfId="0" applyFont="1" applyFill="1" applyBorder="1" applyAlignment="1">
      <alignment horizontal="right" vertical="center"/>
    </xf>
    <xf numFmtId="0" fontId="1" fillId="6" borderId="35" xfId="0" applyFont="1" applyFill="1" applyBorder="1" applyAlignment="1">
      <alignment horizontal="center" vertical="center"/>
    </xf>
    <xf numFmtId="165" fontId="24" fillId="6" borderId="1" xfId="0" applyNumberFormat="1" applyFont="1" applyFill="1" applyBorder="1" applyAlignment="1">
      <alignment horizontal="center" vertical="center"/>
    </xf>
    <xf numFmtId="0" fontId="31" fillId="6" borderId="1" xfId="0" applyFont="1" applyFill="1" applyBorder="1" applyAlignment="1">
      <alignment horizontal="right" vertical="center"/>
    </xf>
    <xf numFmtId="0" fontId="6" fillId="6" borderId="1" xfId="0" applyFont="1" applyFill="1" applyBorder="1" applyAlignment="1">
      <alignment horizontal="right" vertical="center"/>
    </xf>
    <xf numFmtId="49" fontId="5" fillId="23" borderId="31" xfId="0" applyNumberFormat="1" applyFont="1" applyFill="1" applyBorder="1" applyAlignment="1">
      <alignment horizontal="right" vertical="center"/>
    </xf>
    <xf numFmtId="0" fontId="1" fillId="6" borderId="45" xfId="0" applyFont="1" applyFill="1" applyBorder="1" applyAlignment="1">
      <alignment horizontal="center" vertical="center"/>
    </xf>
    <xf numFmtId="1" fontId="0" fillId="6" borderId="46" xfId="0" applyNumberFormat="1" applyFill="1" applyBorder="1" applyAlignment="1">
      <alignment vertical="center"/>
    </xf>
    <xf numFmtId="0" fontId="0" fillId="6" borderId="46" xfId="0" applyFill="1" applyBorder="1" applyAlignment="1">
      <alignment horizontal="center" vertical="center"/>
    </xf>
    <xf numFmtId="0" fontId="0" fillId="6" borderId="33" xfId="0" applyFill="1" applyBorder="1" applyAlignment="1">
      <alignment vertical="center"/>
    </xf>
    <xf numFmtId="0" fontId="31" fillId="23" borderId="47" xfId="0" applyFont="1" applyFill="1" applyBorder="1" applyAlignment="1">
      <alignment horizontal="right" vertical="center"/>
    </xf>
    <xf numFmtId="165" fontId="0" fillId="6" borderId="40" xfId="0" applyNumberFormat="1" applyFill="1" applyBorder="1" applyAlignment="1">
      <alignment horizontal="center" vertical="center"/>
    </xf>
    <xf numFmtId="165" fontId="24" fillId="6" borderId="36" xfId="0" applyNumberFormat="1" applyFont="1" applyFill="1" applyBorder="1" applyAlignment="1">
      <alignment horizontal="center" vertical="center"/>
    </xf>
    <xf numFmtId="165" fontId="24" fillId="6" borderId="37" xfId="0" applyNumberFormat="1" applyFont="1" applyFill="1" applyBorder="1" applyAlignment="1">
      <alignment horizontal="center" vertical="center"/>
    </xf>
    <xf numFmtId="0" fontId="5" fillId="23" borderId="37" xfId="0" applyFont="1" applyFill="1" applyBorder="1" applyAlignment="1">
      <alignment horizontal="right" vertical="center"/>
    </xf>
    <xf numFmtId="165" fontId="0" fillId="6" borderId="29" xfId="0" applyNumberFormat="1" applyFill="1" applyBorder="1" applyAlignment="1">
      <alignment horizontal="center" vertical="center"/>
    </xf>
    <xf numFmtId="165" fontId="18" fillId="6" borderId="36" xfId="0" applyNumberFormat="1" applyFont="1" applyFill="1" applyBorder="1" applyAlignment="1">
      <alignment horizontal="center" vertical="center"/>
    </xf>
    <xf numFmtId="165" fontId="18" fillId="6" borderId="37" xfId="0" applyNumberFormat="1" applyFont="1" applyFill="1" applyBorder="1" applyAlignment="1">
      <alignment horizontal="center" vertical="center"/>
    </xf>
    <xf numFmtId="0" fontId="5" fillId="6" borderId="1" xfId="0" applyFont="1" applyFill="1" applyBorder="1" applyAlignment="1">
      <alignment horizontal="right" vertical="center"/>
    </xf>
    <xf numFmtId="1" fontId="0" fillId="6" borderId="48" xfId="0" applyNumberFormat="1" applyFill="1" applyBorder="1" applyAlignment="1">
      <alignment vertical="center"/>
    </xf>
    <xf numFmtId="0" fontId="0" fillId="6" borderId="49" xfId="0" applyFill="1" applyBorder="1" applyAlignment="1">
      <alignment horizontal="center" vertical="center"/>
    </xf>
    <xf numFmtId="0" fontId="0" fillId="6" borderId="50" xfId="0" applyFill="1" applyBorder="1" applyAlignment="1">
      <alignment vertical="center"/>
    </xf>
    <xf numFmtId="165" fontId="0" fillId="6" borderId="51" xfId="0" applyNumberFormat="1" applyFill="1" applyBorder="1" applyAlignment="1">
      <alignment horizontal="center" vertical="center"/>
    </xf>
    <xf numFmtId="0" fontId="18" fillId="25" borderId="52" xfId="0" applyFont="1" applyFill="1" applyBorder="1">
      <alignment vertical="top" wrapText="1"/>
    </xf>
    <xf numFmtId="0" fontId="18" fillId="13" borderId="53" xfId="0" applyFont="1" applyFill="1" applyBorder="1">
      <alignment vertical="top" wrapText="1"/>
    </xf>
    <xf numFmtId="0" fontId="0" fillId="0" borderId="54" xfId="0" applyBorder="1">
      <alignment vertical="top" wrapText="1"/>
    </xf>
    <xf numFmtId="0" fontId="0" fillId="0" borderId="55" xfId="0" applyBorder="1">
      <alignment vertical="top" wrapText="1"/>
    </xf>
    <xf numFmtId="0" fontId="18" fillId="13" borderId="56" xfId="0" applyFont="1" applyFill="1" applyBorder="1">
      <alignment vertical="top" wrapText="1"/>
    </xf>
    <xf numFmtId="0" fontId="0" fillId="0" borderId="57" xfId="0" applyBorder="1">
      <alignment vertical="top" wrapText="1"/>
    </xf>
    <xf numFmtId="0" fontId="0" fillId="0" borderId="58" xfId="0" applyBorder="1">
      <alignment vertical="top" wrapText="1"/>
    </xf>
    <xf numFmtId="0" fontId="0" fillId="26" borderId="59" xfId="0" applyFill="1" applyBorder="1">
      <alignment vertical="top" wrapText="1"/>
    </xf>
    <xf numFmtId="49" fontId="5" fillId="4" borderId="60" xfId="0" applyNumberFormat="1" applyFont="1" applyFill="1" applyBorder="1" applyAlignment="1">
      <alignment horizontal="center" vertical="center" wrapText="1"/>
    </xf>
    <xf numFmtId="49" fontId="0" fillId="27" borderId="1" xfId="0" applyNumberFormat="1" applyFill="1" applyBorder="1" applyAlignment="1">
      <alignment horizontal="center" vertical="center"/>
    </xf>
    <xf numFmtId="49" fontId="0" fillId="27" borderId="1" xfId="0" applyNumberFormat="1" applyFill="1" applyBorder="1" applyAlignment="1">
      <alignment vertical="center"/>
    </xf>
    <xf numFmtId="49" fontId="0" fillId="27" borderId="61" xfId="0" applyNumberFormat="1" applyFill="1" applyBorder="1" applyAlignment="1">
      <alignment vertical="center"/>
    </xf>
    <xf numFmtId="49" fontId="9" fillId="6" borderId="1" xfId="0" applyNumberFormat="1" applyFont="1" applyFill="1" applyBorder="1" applyAlignment="1">
      <alignment horizontal="center" vertical="center"/>
    </xf>
    <xf numFmtId="0" fontId="1" fillId="6" borderId="1" xfId="0" applyNumberFormat="1" applyFont="1" applyFill="1" applyBorder="1" applyAlignment="1">
      <alignment horizontal="center" vertical="center"/>
    </xf>
    <xf numFmtId="49" fontId="30" fillId="4" borderId="1" xfId="0" applyNumberFormat="1" applyFont="1" applyFill="1" applyBorder="1" applyAlignment="1">
      <alignment horizontal="center" vertical="center" wrapText="1"/>
    </xf>
    <xf numFmtId="49" fontId="18" fillId="6" borderId="1" xfId="0" applyNumberFormat="1" applyFont="1" applyFill="1" applyBorder="1" applyAlignment="1">
      <alignment horizontal="center" vertical="center"/>
    </xf>
    <xf numFmtId="49" fontId="0" fillId="17" borderId="1" xfId="0" applyNumberFormat="1" applyFill="1" applyBorder="1" applyAlignment="1">
      <alignment vertical="center"/>
    </xf>
    <xf numFmtId="165" fontId="18" fillId="17" borderId="1" xfId="0" applyNumberFormat="1" applyFont="1" applyFill="1" applyBorder="1" applyAlignment="1">
      <alignment horizontal="center" vertical="center"/>
    </xf>
    <xf numFmtId="0" fontId="1" fillId="6" borderId="62" xfId="0" applyFont="1" applyFill="1" applyBorder="1" applyAlignment="1">
      <alignment horizontal="center" vertical="center"/>
    </xf>
    <xf numFmtId="1" fontId="0" fillId="6" borderId="62" xfId="0" applyNumberFormat="1" applyFill="1" applyBorder="1" applyAlignment="1">
      <alignment vertical="center"/>
    </xf>
    <xf numFmtId="0" fontId="0" fillId="6" borderId="62" xfId="0" applyFill="1" applyBorder="1" applyAlignment="1">
      <alignment horizontal="center" vertical="center"/>
    </xf>
    <xf numFmtId="0" fontId="18" fillId="26" borderId="66" xfId="0" applyFont="1" applyFill="1" applyBorder="1">
      <alignment vertical="top" wrapText="1"/>
    </xf>
    <xf numFmtId="168" fontId="18" fillId="26" borderId="66" xfId="0" applyNumberFormat="1" applyFont="1" applyFill="1" applyBorder="1">
      <alignment vertical="top" wrapText="1"/>
    </xf>
    <xf numFmtId="49" fontId="18" fillId="26" borderId="66" xfId="0" applyNumberFormat="1" applyFont="1" applyFill="1" applyBorder="1" applyAlignment="1">
      <alignment horizontal="center" vertical="top" wrapText="1"/>
    </xf>
    <xf numFmtId="0" fontId="32" fillId="28" borderId="67" xfId="0" applyNumberFormat="1" applyFont="1" applyFill="1" applyBorder="1" applyAlignment="1">
      <alignment vertical="top" wrapText="1" readingOrder="1"/>
    </xf>
    <xf numFmtId="0" fontId="33" fillId="28" borderId="68" xfId="0" applyFont="1" applyFill="1" applyBorder="1" applyAlignment="1">
      <alignment vertical="top" wrapText="1" readingOrder="1"/>
    </xf>
    <xf numFmtId="0" fontId="33" fillId="28" borderId="69" xfId="0" applyFont="1" applyFill="1" applyBorder="1" applyAlignment="1">
      <alignment vertical="top" wrapText="1" readingOrder="1"/>
    </xf>
    <xf numFmtId="0" fontId="33" fillId="28" borderId="69" xfId="0" applyNumberFormat="1" applyFont="1" applyFill="1" applyBorder="1" applyAlignment="1">
      <alignment vertical="top" wrapText="1" readingOrder="1"/>
    </xf>
    <xf numFmtId="0" fontId="34" fillId="28" borderId="69" xfId="0" applyNumberFormat="1" applyFont="1" applyFill="1" applyBorder="1" applyAlignment="1">
      <alignment vertical="top" wrapText="1" readingOrder="1"/>
    </xf>
    <xf numFmtId="169" fontId="33" fillId="28" borderId="69" xfId="0" applyNumberFormat="1" applyFont="1" applyFill="1" applyBorder="1" applyAlignment="1">
      <alignment vertical="top" wrapText="1" readingOrder="1"/>
    </xf>
    <xf numFmtId="0" fontId="32" fillId="6" borderId="70" xfId="0" applyNumberFormat="1" applyFont="1" applyFill="1" applyBorder="1" applyAlignment="1">
      <alignment vertical="top" wrapText="1" readingOrder="1"/>
    </xf>
    <xf numFmtId="0" fontId="33" fillId="29" borderId="71" xfId="0" applyNumberFormat="1" applyFont="1" applyFill="1" applyBorder="1" applyAlignment="1">
      <alignment vertical="top" wrapText="1" readingOrder="1"/>
    </xf>
    <xf numFmtId="0" fontId="33" fillId="29" borderId="72" xfId="0" applyNumberFormat="1" applyFont="1" applyFill="1" applyBorder="1" applyAlignment="1">
      <alignment vertical="top" wrapText="1" readingOrder="1"/>
    </xf>
    <xf numFmtId="0" fontId="34" fillId="29" borderId="72" xfId="0" applyNumberFormat="1" applyFont="1" applyFill="1" applyBorder="1" applyAlignment="1">
      <alignment vertical="top" wrapText="1" readingOrder="1"/>
    </xf>
    <xf numFmtId="169" fontId="33" fillId="29" borderId="72" xfId="0" applyNumberFormat="1" applyFont="1" applyFill="1" applyBorder="1" applyAlignment="1">
      <alignment vertical="top" wrapText="1" readingOrder="1"/>
    </xf>
    <xf numFmtId="0" fontId="32" fillId="28" borderId="70" xfId="0" applyNumberFormat="1" applyFont="1" applyFill="1" applyBorder="1" applyAlignment="1">
      <alignment vertical="top" wrapText="1" readingOrder="1"/>
    </xf>
    <xf numFmtId="0" fontId="33" fillId="28" borderId="71" xfId="0" applyNumberFormat="1" applyFont="1" applyFill="1" applyBorder="1" applyAlignment="1">
      <alignment vertical="top" wrapText="1" readingOrder="1"/>
    </xf>
    <xf numFmtId="0" fontId="33" fillId="28" borderId="72" xfId="0" applyNumberFormat="1" applyFont="1" applyFill="1" applyBorder="1" applyAlignment="1">
      <alignment vertical="top" wrapText="1" readingOrder="1"/>
    </xf>
    <xf numFmtId="0" fontId="34" fillId="28" borderId="72" xfId="0" applyNumberFormat="1" applyFont="1" applyFill="1" applyBorder="1" applyAlignment="1">
      <alignment vertical="top" wrapText="1" readingOrder="1"/>
    </xf>
    <xf numFmtId="169" fontId="33" fillId="6" borderId="72" xfId="0" applyNumberFormat="1" applyFont="1" applyFill="1" applyBorder="1" applyAlignment="1">
      <alignment vertical="top" wrapText="1" readingOrder="1"/>
    </xf>
    <xf numFmtId="2" fontId="33" fillId="6" borderId="72" xfId="0" applyNumberFormat="1" applyFont="1" applyFill="1" applyBorder="1" applyAlignment="1">
      <alignment vertical="top" wrapText="1" readingOrder="1"/>
    </xf>
    <xf numFmtId="2" fontId="33" fillId="29" borderId="72" xfId="0" applyNumberFormat="1" applyFont="1" applyFill="1" applyBorder="1" applyAlignment="1">
      <alignment vertical="top" wrapText="1" readingOrder="1"/>
    </xf>
    <xf numFmtId="49" fontId="35" fillId="28" borderId="72" xfId="0" applyNumberFormat="1" applyFont="1" applyFill="1" applyBorder="1" applyAlignment="1">
      <alignment horizontal="center" vertical="top" wrapText="1" readingOrder="1"/>
    </xf>
    <xf numFmtId="0" fontId="0" fillId="28" borderId="72" xfId="0" applyFill="1" applyBorder="1">
      <alignment vertical="top" wrapText="1"/>
    </xf>
    <xf numFmtId="0" fontId="36" fillId="28" borderId="72" xfId="0" applyNumberFormat="1" applyFont="1" applyFill="1" applyBorder="1">
      <alignment vertical="top" wrapText="1"/>
    </xf>
    <xf numFmtId="0" fontId="32" fillId="28" borderId="70" xfId="0" applyFont="1" applyFill="1" applyBorder="1" applyAlignment="1">
      <alignment vertical="top" wrapText="1" readingOrder="1"/>
    </xf>
    <xf numFmtId="0" fontId="33" fillId="28" borderId="71" xfId="0" applyFont="1" applyFill="1" applyBorder="1" applyAlignment="1">
      <alignment vertical="top" wrapText="1" readingOrder="1"/>
    </xf>
    <xf numFmtId="0" fontId="33" fillId="28" borderId="72" xfId="0" applyFont="1" applyFill="1" applyBorder="1" applyAlignment="1">
      <alignment vertical="top" wrapText="1" readingOrder="1"/>
    </xf>
    <xf numFmtId="0" fontId="35" fillId="28" borderId="72" xfId="0" applyFont="1" applyFill="1" applyBorder="1" applyAlignment="1">
      <alignment horizontal="center" vertical="top" wrapText="1" readingOrder="1"/>
    </xf>
    <xf numFmtId="0" fontId="33" fillId="29" borderId="72" xfId="0" applyFont="1" applyFill="1" applyBorder="1" applyAlignment="1">
      <alignment vertical="top" wrapText="1" readingOrder="1"/>
    </xf>
    <xf numFmtId="49" fontId="5" fillId="28" borderId="72" xfId="0" applyNumberFormat="1" applyFont="1" applyFill="1" applyBorder="1">
      <alignment vertical="top" wrapText="1"/>
    </xf>
    <xf numFmtId="170" fontId="1" fillId="28" borderId="72" xfId="0" applyNumberFormat="1" applyFont="1" applyFill="1" applyBorder="1">
      <alignment vertical="top" wrapText="1"/>
    </xf>
    <xf numFmtId="0" fontId="33" fillId="6" borderId="72" xfId="0" applyFont="1" applyFill="1" applyBorder="1" applyAlignment="1">
      <alignment vertical="top" wrapText="1" readingOrder="1"/>
    </xf>
    <xf numFmtId="49" fontId="37" fillId="28" borderId="72" xfId="0" applyNumberFormat="1" applyFont="1" applyFill="1" applyBorder="1">
      <alignment vertical="top" wrapText="1"/>
    </xf>
    <xf numFmtId="170" fontId="37" fillId="28" borderId="72" xfId="0" applyNumberFormat="1" applyFont="1" applyFill="1" applyBorder="1">
      <alignment vertical="top" wrapText="1"/>
    </xf>
    <xf numFmtId="0" fontId="1" fillId="0" borderId="0" xfId="0" applyFont="1" applyAlignment="1">
      <alignment horizontal="left" vertical="top" wrapText="1"/>
    </xf>
    <xf numFmtId="0" fontId="0" fillId="0" borderId="0" xfId="0">
      <alignment vertical="top" wrapText="1"/>
    </xf>
    <xf numFmtId="0" fontId="4" fillId="0" borderId="0" xfId="0" applyFont="1" applyAlignment="1">
      <alignment horizontal="center" vertical="center"/>
    </xf>
    <xf numFmtId="49" fontId="1" fillId="6" borderId="63" xfId="0" applyNumberFormat="1" applyFont="1" applyFill="1" applyBorder="1" applyAlignment="1">
      <alignment horizontal="center" vertical="center"/>
    </xf>
    <xf numFmtId="0" fontId="1" fillId="6" borderId="64" xfId="0" applyFont="1" applyFill="1" applyBorder="1" applyAlignment="1">
      <alignment horizontal="center" vertical="center"/>
    </xf>
    <xf numFmtId="0" fontId="1" fillId="6" borderId="65" xfId="0" applyFont="1" applyFill="1" applyBorder="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EAEAEA"/>
      <rgbColor rgb="FFD6D6D6"/>
      <rgbColor rgb="FFDDDDDD"/>
      <rgbColor rgb="FFFFFFFF"/>
      <rgbColor rgb="FFC6F1EF"/>
      <rgbColor rgb="FFE5E5E5"/>
      <rgbColor rgb="FFF7FADB"/>
      <rgbColor rgb="FFDFEDD3"/>
      <rgbColor rgb="FFAAAAAA"/>
      <rgbColor rgb="FFFFF1D4"/>
      <rgbColor rgb="FFFFC5FB"/>
      <rgbColor rgb="FFDBDBDB"/>
      <rgbColor rgb="FFFFE2D6"/>
      <rgbColor rgb="FFFF42A1"/>
      <rgbColor rgb="FFFFA0D0"/>
      <rgbColor rgb="FFFFECD4"/>
      <rgbColor rgb="FF60D836"/>
      <rgbColor rgb="FFE4FFE6"/>
      <rgbColor rgb="FFD5D5D5"/>
      <rgbColor rgb="FFFE634D"/>
      <rgbColor rgb="FFFFD8F5"/>
      <rgbColor rgb="FFFF71B8"/>
      <rgbColor rgb="FFDFDFDF"/>
      <rgbColor rgb="FFDBDBDB"/>
      <rgbColor rgb="FF919191"/>
      <rgbColor rgb="FFE0E0E0"/>
      <rgbColor rgb="FF919DA2"/>
      <rgbColor rgb="FFBDC0BF"/>
      <rgbColor rgb="FFA5A5A5"/>
      <rgbColor rgb="FF3F3F3F"/>
      <rgbColor rgb="FFBDC0BF"/>
      <rgbColor rgb="FFC9D4F0"/>
      <rgbColor rgb="FF6D7D84"/>
      <rgbColor rgb="FFA5A5A5"/>
      <rgbColor rgb="FF3F3F3F"/>
      <rgbColor rgb="FF2B2B2B"/>
      <rgbColor rgb="FFF2F2F2"/>
      <rgbColor rgb="FFD7EAF9"/>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6"/>
  <sheetViews>
    <sheetView showGridLines="0" workbookViewId="0"/>
  </sheetViews>
  <sheetFormatPr defaultColWidth="10" defaultRowHeight="13.15" customHeight="1"/>
  <cols>
    <col min="1" max="1" width="2" customWidth="1"/>
    <col min="2" max="4" width="33.5703125" customWidth="1"/>
  </cols>
  <sheetData>
    <row r="3" spans="2:4" ht="49.9" customHeight="1">
      <c r="B3" s="367" t="s">
        <v>0</v>
      </c>
      <c r="C3" s="368"/>
      <c r="D3" s="368"/>
    </row>
    <row r="7" spans="2:4" ht="18">
      <c r="B7" s="1" t="s">
        <v>1</v>
      </c>
      <c r="C7" s="1" t="s">
        <v>2</v>
      </c>
      <c r="D7" s="1" t="s">
        <v>3</v>
      </c>
    </row>
    <row r="9" spans="2:4" ht="30">
      <c r="B9" s="2" t="s">
        <v>4</v>
      </c>
      <c r="C9" s="2"/>
      <c r="D9" s="2"/>
    </row>
    <row r="10" spans="2:4" ht="30">
      <c r="B10" s="3"/>
      <c r="C10" s="3" t="s">
        <v>5</v>
      </c>
      <c r="D10" s="4" t="s">
        <v>4</v>
      </c>
    </row>
    <row r="11" spans="2:4" ht="15">
      <c r="B11" s="2" t="s">
        <v>193</v>
      </c>
      <c r="C11" s="2"/>
      <c r="D11" s="2"/>
    </row>
    <row r="12" spans="2:4" ht="15">
      <c r="B12" s="3"/>
      <c r="C12" s="3" t="s">
        <v>5</v>
      </c>
      <c r="D12" s="4" t="s">
        <v>193</v>
      </c>
    </row>
    <row r="13" spans="2:4" ht="15">
      <c r="B13" s="2" t="s">
        <v>194</v>
      </c>
      <c r="C13" s="2"/>
      <c r="D13" s="2"/>
    </row>
    <row r="14" spans="2:4" ht="15">
      <c r="B14" s="3"/>
      <c r="C14" s="3" t="s">
        <v>5</v>
      </c>
      <c r="D14" s="4" t="s">
        <v>194</v>
      </c>
    </row>
    <row r="15" spans="2:4" ht="15">
      <c r="B15" s="2" t="s">
        <v>224</v>
      </c>
      <c r="C15" s="2"/>
      <c r="D15" s="2"/>
    </row>
    <row r="16" spans="2:4" ht="15">
      <c r="B16" s="3"/>
      <c r="C16" s="3" t="s">
        <v>5</v>
      </c>
      <c r="D16" s="4" t="s">
        <v>224</v>
      </c>
    </row>
  </sheetData>
  <mergeCells count="1">
    <mergeCell ref="B3:D3"/>
  </mergeCells>
  <hyperlinks>
    <hyperlink ref="D10" location="'DPW Vehicles and Equipment 5 ye'!R1C1" display="DPW Vehicles and Equipment 5 ye" xr:uid="{00000000-0004-0000-0000-000000000000}"/>
    <hyperlink ref="D12" location="'Sheet 1'!R2C1" display="Sheet 1" xr:uid="{00000000-0004-0000-0000-000001000000}"/>
    <hyperlink ref="D14" location="'Use Till Fallure (UTF) Equipmen'!R1C1" display="Use Till Fallure (UTF) Equipmen" xr:uid="{00000000-0004-0000-0000-000002000000}"/>
    <hyperlink ref="D16" location="'30 year inflation numbers'!R1C1" display="30 year inflation numbers"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99"/>
  <sheetViews>
    <sheetView showGridLines="0" tabSelected="1" workbookViewId="0">
      <pane xSplit="2" ySplit="1" topLeftCell="C3" activePane="bottomRight" state="frozen"/>
      <selection pane="topRight"/>
      <selection pane="bottomLeft"/>
      <selection pane="bottomRight" activeCell="L12" sqref="L12"/>
    </sheetView>
  </sheetViews>
  <sheetFormatPr defaultColWidth="16.28515625" defaultRowHeight="13.9" customHeight="1"/>
  <cols>
    <col min="1" max="1" width="24" style="5" customWidth="1"/>
    <col min="2" max="2" width="24.42578125" style="5" customWidth="1"/>
    <col min="3" max="3" width="15.42578125" style="5" customWidth="1"/>
    <col min="4" max="4" width="12.7109375" style="5" customWidth="1"/>
    <col min="5" max="5" width="16.28515625" style="5" hidden="1" customWidth="1"/>
    <col min="6" max="6" width="11.42578125" style="5" customWidth="1"/>
    <col min="7" max="7" width="16.28515625" style="5" hidden="1" customWidth="1"/>
    <col min="8" max="8" width="8.7109375" style="5" customWidth="1"/>
    <col min="9" max="11" width="16.28515625" style="5" hidden="1" customWidth="1"/>
    <col min="12" max="12" width="16.42578125" style="5" customWidth="1"/>
    <col min="13" max="18" width="16.28515625" style="5" hidden="1" customWidth="1"/>
    <col min="19" max="30" width="12.28515625" style="5" customWidth="1"/>
    <col min="31" max="31" width="12.42578125" style="5" customWidth="1"/>
    <col min="32" max="43" width="12.28515625" style="5" customWidth="1"/>
    <col min="44" max="53" width="13.85546875" style="5" customWidth="1"/>
    <col min="54" max="54" width="16.28515625" style="5" customWidth="1"/>
    <col min="55" max="16384" width="16.28515625" style="5"/>
  </cols>
  <sheetData>
    <row r="1" spans="1:53" ht="66" customHeight="1">
      <c r="A1" s="6" t="s">
        <v>6</v>
      </c>
      <c r="B1" s="6" t="s">
        <v>7</v>
      </c>
      <c r="C1" s="6" t="s">
        <v>8</v>
      </c>
      <c r="D1" s="6" t="s">
        <v>9</v>
      </c>
      <c r="E1" s="6" t="s">
        <v>10</v>
      </c>
      <c r="F1" s="6" t="s">
        <v>11</v>
      </c>
      <c r="G1" s="6" t="s">
        <v>12</v>
      </c>
      <c r="H1" s="7" t="s">
        <v>13</v>
      </c>
      <c r="I1" s="6" t="s">
        <v>14</v>
      </c>
      <c r="J1" s="6" t="s">
        <v>15</v>
      </c>
      <c r="K1" s="6" t="s">
        <v>16</v>
      </c>
      <c r="L1" s="6" t="s">
        <v>17</v>
      </c>
      <c r="M1" s="6" t="s">
        <v>18</v>
      </c>
      <c r="N1" s="6" t="s">
        <v>19</v>
      </c>
      <c r="O1" s="6" t="s">
        <v>20</v>
      </c>
      <c r="P1" s="6" t="s">
        <v>21</v>
      </c>
      <c r="Q1" s="6" t="s">
        <v>22</v>
      </c>
      <c r="R1" s="6" t="s">
        <v>23</v>
      </c>
      <c r="S1" s="6" t="s">
        <v>24</v>
      </c>
      <c r="T1" s="6" t="s">
        <v>25</v>
      </c>
      <c r="U1" s="6" t="s">
        <v>26</v>
      </c>
      <c r="V1" s="6" t="s">
        <v>27</v>
      </c>
      <c r="W1" s="6" t="s">
        <v>28</v>
      </c>
      <c r="X1" s="6" t="s">
        <v>29</v>
      </c>
      <c r="Y1" s="6" t="s">
        <v>30</v>
      </c>
      <c r="Z1" s="6" t="s">
        <v>31</v>
      </c>
      <c r="AA1" s="6" t="s">
        <v>32</v>
      </c>
      <c r="AB1" s="6" t="s">
        <v>33</v>
      </c>
      <c r="AC1" s="6" t="s">
        <v>34</v>
      </c>
      <c r="AD1" s="6" t="s">
        <v>35</v>
      </c>
      <c r="AE1" s="6" t="s">
        <v>36</v>
      </c>
      <c r="AF1" s="6" t="s">
        <v>37</v>
      </c>
      <c r="AG1" s="6" t="s">
        <v>38</v>
      </c>
      <c r="AH1" s="6" t="s">
        <v>39</v>
      </c>
      <c r="AI1" s="6" t="s">
        <v>40</v>
      </c>
      <c r="AJ1" s="6" t="s">
        <v>41</v>
      </c>
      <c r="AK1" s="6" t="s">
        <v>42</v>
      </c>
      <c r="AL1" s="6" t="s">
        <v>43</v>
      </c>
      <c r="AM1" s="6" t="s">
        <v>44</v>
      </c>
      <c r="AN1" s="6" t="s">
        <v>45</v>
      </c>
      <c r="AO1" s="6" t="s">
        <v>46</v>
      </c>
      <c r="AP1" s="6" t="s">
        <v>47</v>
      </c>
      <c r="AQ1" s="6" t="s">
        <v>48</v>
      </c>
      <c r="AR1" s="6" t="s">
        <v>49</v>
      </c>
      <c r="AS1" s="6" t="s">
        <v>50</v>
      </c>
      <c r="AT1" s="6" t="s">
        <v>51</v>
      </c>
      <c r="AU1" s="6" t="s">
        <v>52</v>
      </c>
      <c r="AV1" s="6" t="s">
        <v>53</v>
      </c>
      <c r="AW1" s="6" t="s">
        <v>54</v>
      </c>
      <c r="AX1" s="6" t="s">
        <v>55</v>
      </c>
      <c r="AY1" s="6" t="s">
        <v>56</v>
      </c>
      <c r="AZ1" s="6" t="s">
        <v>57</v>
      </c>
      <c r="BA1" s="6" t="s">
        <v>58</v>
      </c>
    </row>
    <row r="2" spans="1:53" ht="17.850000000000001" hidden="1" customHeight="1">
      <c r="A2" s="8"/>
      <c r="B2" s="9"/>
      <c r="C2" s="10"/>
      <c r="D2" s="11"/>
      <c r="E2" s="12"/>
      <c r="F2" s="11"/>
      <c r="G2" s="13"/>
      <c r="H2" s="14"/>
      <c r="I2" s="15"/>
      <c r="J2" s="15"/>
      <c r="K2" s="16"/>
      <c r="L2" s="17"/>
      <c r="M2" s="18"/>
      <c r="N2" s="18"/>
      <c r="O2" s="18"/>
      <c r="P2" s="18"/>
      <c r="Q2" s="18"/>
      <c r="R2" s="18"/>
      <c r="S2" s="19"/>
      <c r="T2" s="20"/>
      <c r="U2" s="20"/>
      <c r="V2" s="21" t="s">
        <v>59</v>
      </c>
      <c r="W2" s="22">
        <f t="shared" ref="W2:BA2" si="0">SUM(W3:W11)</f>
        <v>215000</v>
      </c>
      <c r="X2" s="22">
        <f t="shared" si="0"/>
        <v>225730.13883750004</v>
      </c>
      <c r="Y2" s="22">
        <f t="shared" si="0"/>
        <v>231294.38675984443</v>
      </c>
      <c r="Z2" s="22">
        <f t="shared" si="0"/>
        <v>303134.15434049082</v>
      </c>
      <c r="AA2" s="22">
        <f t="shared" si="0"/>
        <v>242837.73970062379</v>
      </c>
      <c r="AB2" s="22">
        <f t="shared" si="0"/>
        <v>248823.68998424415</v>
      </c>
      <c r="AC2" s="22">
        <f t="shared" si="0"/>
        <v>254957.19394235581</v>
      </c>
      <c r="AD2" s="22">
        <f t="shared" si="0"/>
        <v>0</v>
      </c>
      <c r="AE2" s="22">
        <f t="shared" si="0"/>
        <v>267681.50133129029</v>
      </c>
      <c r="AF2" s="22">
        <f t="shared" si="0"/>
        <v>0</v>
      </c>
      <c r="AG2" s="22">
        <f t="shared" si="0"/>
        <v>281040.84864996554</v>
      </c>
      <c r="AH2" s="22">
        <f t="shared" si="0"/>
        <v>287968.50556918723</v>
      </c>
      <c r="AI2" s="22">
        <f t="shared" si="0"/>
        <v>295066.92923146771</v>
      </c>
      <c r="AJ2" s="22">
        <f t="shared" si="0"/>
        <v>386714.37434968114</v>
      </c>
      <c r="AK2" s="22">
        <f t="shared" si="0"/>
        <v>309793.01814778609</v>
      </c>
      <c r="AL2" s="22">
        <f t="shared" si="0"/>
        <v>317429.41604512907</v>
      </c>
      <c r="AM2" s="22">
        <f t="shared" si="0"/>
        <v>325254.05115064152</v>
      </c>
      <c r="AN2" s="22">
        <f t="shared" si="0"/>
        <v>0</v>
      </c>
      <c r="AO2" s="22">
        <f t="shared" si="0"/>
        <v>341486.70755206345</v>
      </c>
      <c r="AP2" s="22">
        <f t="shared" si="0"/>
        <v>0</v>
      </c>
      <c r="AQ2" s="22">
        <f t="shared" si="0"/>
        <v>358529.49724133982</v>
      </c>
      <c r="AR2" s="22">
        <f t="shared" si="0"/>
        <v>367367.24934833881</v>
      </c>
      <c r="AS2" s="22">
        <f t="shared" si="0"/>
        <v>376422.85204477538</v>
      </c>
      <c r="AT2" s="22">
        <f t="shared" si="0"/>
        <v>493339.35218889202</v>
      </c>
      <c r="AU2" s="22">
        <f t="shared" si="0"/>
        <v>395209.22164499952</v>
      </c>
      <c r="AV2" s="22">
        <f t="shared" si="0"/>
        <v>404951.12895854883</v>
      </c>
      <c r="AW2" s="22">
        <f t="shared" si="0"/>
        <v>414933.17428737704</v>
      </c>
      <c r="AX2" s="22">
        <f t="shared" si="0"/>
        <v>0</v>
      </c>
      <c r="AY2" s="22">
        <f t="shared" si="0"/>
        <v>435641.50251243828</v>
      </c>
      <c r="AZ2" s="22">
        <f t="shared" si="0"/>
        <v>0</v>
      </c>
      <c r="BA2" s="22">
        <f t="shared" si="0"/>
        <v>457383.33416516188</v>
      </c>
    </row>
    <row r="3" spans="1:53" ht="17.850000000000001" customHeight="1">
      <c r="A3" s="23" t="s">
        <v>60</v>
      </c>
      <c r="B3" s="6" t="s">
        <v>61</v>
      </c>
      <c r="C3" s="24" t="s">
        <v>62</v>
      </c>
      <c r="D3" s="25">
        <v>2013</v>
      </c>
      <c r="E3" s="12"/>
      <c r="F3" s="26">
        <v>10</v>
      </c>
      <c r="G3" s="27">
        <v>8</v>
      </c>
      <c r="H3" s="28">
        <v>1.0246500000000001</v>
      </c>
      <c r="I3" s="15">
        <v>166000</v>
      </c>
      <c r="J3" s="15">
        <v>155000</v>
      </c>
      <c r="K3" s="16">
        <v>20902</v>
      </c>
      <c r="L3" s="29">
        <v>215000</v>
      </c>
      <c r="M3" s="18" t="s">
        <v>63</v>
      </c>
      <c r="N3" s="18" t="s">
        <v>64</v>
      </c>
      <c r="O3" s="18" t="s">
        <v>65</v>
      </c>
      <c r="P3" s="18" t="s">
        <v>66</v>
      </c>
      <c r="Q3" s="18" t="s">
        <v>67</v>
      </c>
      <c r="R3" s="18" t="s">
        <v>68</v>
      </c>
      <c r="S3" s="30">
        <v>2023</v>
      </c>
      <c r="T3" s="31" t="s">
        <v>69</v>
      </c>
      <c r="U3" s="31" t="s">
        <v>70</v>
      </c>
      <c r="V3" s="32" t="s">
        <v>71</v>
      </c>
      <c r="W3" s="15">
        <v>215000</v>
      </c>
      <c r="X3" s="33" t="s">
        <v>72</v>
      </c>
      <c r="Y3" s="33" t="s">
        <v>63</v>
      </c>
      <c r="Z3" s="33" t="s">
        <v>64</v>
      </c>
      <c r="AA3" s="33" t="s">
        <v>65</v>
      </c>
      <c r="AB3" s="33" t="s">
        <v>66</v>
      </c>
      <c r="AC3" s="33" t="s">
        <v>67</v>
      </c>
      <c r="AD3" s="33" t="s">
        <v>68</v>
      </c>
      <c r="AE3" s="33" t="s">
        <v>69</v>
      </c>
      <c r="AF3" s="33" t="s">
        <v>70</v>
      </c>
      <c r="AG3" s="15">
        <f>L3*H3^11</f>
        <v>281040.84864996554</v>
      </c>
      <c r="AH3" s="33" t="s">
        <v>72</v>
      </c>
      <c r="AI3" s="33" t="s">
        <v>63</v>
      </c>
      <c r="AJ3" s="33" t="s">
        <v>64</v>
      </c>
      <c r="AK3" s="33" t="s">
        <v>65</v>
      </c>
      <c r="AL3" s="33" t="s">
        <v>66</v>
      </c>
      <c r="AM3" s="33" t="s">
        <v>67</v>
      </c>
      <c r="AN3" s="33" t="s">
        <v>68</v>
      </c>
      <c r="AO3" s="33" t="s">
        <v>69</v>
      </c>
      <c r="AP3" s="33" t="s">
        <v>70</v>
      </c>
      <c r="AQ3" s="15">
        <f>L3*H3^21</f>
        <v>358529.49724133982</v>
      </c>
      <c r="AR3" s="33" t="s">
        <v>72</v>
      </c>
      <c r="AS3" s="33" t="s">
        <v>63</v>
      </c>
      <c r="AT3" s="33" t="s">
        <v>64</v>
      </c>
      <c r="AU3" s="33" t="s">
        <v>65</v>
      </c>
      <c r="AV3" s="33" t="s">
        <v>66</v>
      </c>
      <c r="AW3" s="33" t="s">
        <v>67</v>
      </c>
      <c r="AX3" s="33" t="s">
        <v>68</v>
      </c>
      <c r="AY3" s="33" t="s">
        <v>69</v>
      </c>
      <c r="AZ3" s="33" t="s">
        <v>70</v>
      </c>
      <c r="BA3" s="34">
        <f>L3*H3^31</f>
        <v>457383.33416516188</v>
      </c>
    </row>
    <row r="4" spans="1:53" ht="17.850000000000001" customHeight="1">
      <c r="A4" s="23" t="s">
        <v>73</v>
      </c>
      <c r="B4" s="6" t="s">
        <v>61</v>
      </c>
      <c r="C4" s="24" t="s">
        <v>62</v>
      </c>
      <c r="D4" s="25">
        <v>2016</v>
      </c>
      <c r="E4" s="12"/>
      <c r="F4" s="26">
        <v>10</v>
      </c>
      <c r="G4" s="27">
        <v>5</v>
      </c>
      <c r="H4" s="28">
        <v>1.0246500000000001</v>
      </c>
      <c r="I4" s="15">
        <v>166000</v>
      </c>
      <c r="J4" s="15">
        <v>155000</v>
      </c>
      <c r="K4" s="16">
        <v>3184</v>
      </c>
      <c r="L4" s="29">
        <v>215000</v>
      </c>
      <c r="M4" s="18" t="s">
        <v>67</v>
      </c>
      <c r="N4" s="18" t="s">
        <v>68</v>
      </c>
      <c r="O4" s="15">
        <v>155000</v>
      </c>
      <c r="P4" s="18" t="s">
        <v>72</v>
      </c>
      <c r="Q4" s="18" t="s">
        <v>63</v>
      </c>
      <c r="R4" s="18" t="s">
        <v>64</v>
      </c>
      <c r="S4" s="30">
        <v>2023</v>
      </c>
      <c r="T4" s="31" t="s">
        <v>65</v>
      </c>
      <c r="U4" s="31" t="s">
        <v>66</v>
      </c>
      <c r="V4" s="31" t="s">
        <v>67</v>
      </c>
      <c r="W4" s="33" t="s">
        <v>68</v>
      </c>
      <c r="X4" s="33" t="s">
        <v>74</v>
      </c>
      <c r="Y4" s="15">
        <f>L4*H4^3</f>
        <v>231294.38675984443</v>
      </c>
      <c r="Z4" s="33" t="s">
        <v>72</v>
      </c>
      <c r="AA4" s="33" t="s">
        <v>63</v>
      </c>
      <c r="AB4" s="33" t="s">
        <v>64</v>
      </c>
      <c r="AC4" s="33" t="s">
        <v>65</v>
      </c>
      <c r="AD4" s="33" t="s">
        <v>66</v>
      </c>
      <c r="AE4" s="33" t="s">
        <v>67</v>
      </c>
      <c r="AF4" s="33" t="s">
        <v>68</v>
      </c>
      <c r="AG4" s="33" t="s">
        <v>69</v>
      </c>
      <c r="AH4" s="33" t="s">
        <v>70</v>
      </c>
      <c r="AI4" s="15">
        <f>L4*H4^13</f>
        <v>295066.92923146771</v>
      </c>
      <c r="AJ4" s="33" t="s">
        <v>72</v>
      </c>
      <c r="AK4" s="33" t="s">
        <v>63</v>
      </c>
      <c r="AL4" s="33" t="s">
        <v>64</v>
      </c>
      <c r="AM4" s="33" t="s">
        <v>65</v>
      </c>
      <c r="AN4" s="33" t="s">
        <v>66</v>
      </c>
      <c r="AO4" s="33" t="s">
        <v>67</v>
      </c>
      <c r="AP4" s="33" t="s">
        <v>68</v>
      </c>
      <c r="AQ4" s="33" t="s">
        <v>69</v>
      </c>
      <c r="AR4" s="33" t="s">
        <v>70</v>
      </c>
      <c r="AS4" s="15">
        <f>L4*H4^23</f>
        <v>376422.85204477538</v>
      </c>
      <c r="AT4" s="33" t="s">
        <v>72</v>
      </c>
      <c r="AU4" s="33" t="s">
        <v>63</v>
      </c>
      <c r="AV4" s="33" t="s">
        <v>64</v>
      </c>
      <c r="AW4" s="33" t="s">
        <v>65</v>
      </c>
      <c r="AX4" s="33" t="s">
        <v>66</v>
      </c>
      <c r="AY4" s="33" t="s">
        <v>67</v>
      </c>
      <c r="AZ4" s="33" t="s">
        <v>68</v>
      </c>
      <c r="BA4" s="33" t="s">
        <v>69</v>
      </c>
    </row>
    <row r="5" spans="1:53" ht="17.850000000000001" customHeight="1">
      <c r="A5" s="23" t="s">
        <v>75</v>
      </c>
      <c r="B5" s="6" t="s">
        <v>61</v>
      </c>
      <c r="C5" s="24" t="s">
        <v>62</v>
      </c>
      <c r="D5" s="25">
        <v>2019</v>
      </c>
      <c r="E5" s="12"/>
      <c r="F5" s="26">
        <v>10</v>
      </c>
      <c r="G5" s="27">
        <v>2</v>
      </c>
      <c r="H5" s="28">
        <f>H4</f>
        <v>1.0246500000000001</v>
      </c>
      <c r="I5" s="15">
        <v>166000</v>
      </c>
      <c r="J5" s="15">
        <v>155000</v>
      </c>
      <c r="K5" s="16">
        <v>44609</v>
      </c>
      <c r="L5" s="29">
        <v>215000</v>
      </c>
      <c r="M5" s="18" t="s">
        <v>67</v>
      </c>
      <c r="N5" s="18" t="s">
        <v>68</v>
      </c>
      <c r="O5" s="18" t="s">
        <v>69</v>
      </c>
      <c r="P5" s="18" t="s">
        <v>70</v>
      </c>
      <c r="Q5" s="15">
        <v>124727</v>
      </c>
      <c r="R5" s="18" t="s">
        <v>72</v>
      </c>
      <c r="S5" s="30">
        <v>2023</v>
      </c>
      <c r="T5" s="31" t="s">
        <v>63</v>
      </c>
      <c r="U5" s="31" t="s">
        <v>64</v>
      </c>
      <c r="V5" s="31" t="s">
        <v>65</v>
      </c>
      <c r="W5" s="33" t="s">
        <v>66</v>
      </c>
      <c r="X5" s="33" t="s">
        <v>67</v>
      </c>
      <c r="Y5" s="33" t="s">
        <v>68</v>
      </c>
      <c r="Z5" s="33" t="s">
        <v>69</v>
      </c>
      <c r="AA5" s="33" t="s">
        <v>70</v>
      </c>
      <c r="AB5" s="15">
        <f>L5*H5^6</f>
        <v>248823.68998424415</v>
      </c>
      <c r="AC5" s="33" t="s">
        <v>72</v>
      </c>
      <c r="AD5" s="33" t="s">
        <v>63</v>
      </c>
      <c r="AE5" s="33" t="s">
        <v>64</v>
      </c>
      <c r="AF5" s="33" t="s">
        <v>65</v>
      </c>
      <c r="AG5" s="33" t="s">
        <v>66</v>
      </c>
      <c r="AH5" s="33" t="s">
        <v>67</v>
      </c>
      <c r="AI5" s="33" t="s">
        <v>68</v>
      </c>
      <c r="AJ5" s="33" t="s">
        <v>69</v>
      </c>
      <c r="AK5" s="33" t="s">
        <v>70</v>
      </c>
      <c r="AL5" s="15">
        <f>L5*H5^16</f>
        <v>317429.41604512907</v>
      </c>
      <c r="AM5" s="33" t="s">
        <v>72</v>
      </c>
      <c r="AN5" s="33" t="s">
        <v>63</v>
      </c>
      <c r="AO5" s="33" t="s">
        <v>64</v>
      </c>
      <c r="AP5" s="33" t="s">
        <v>65</v>
      </c>
      <c r="AQ5" s="33" t="s">
        <v>66</v>
      </c>
      <c r="AR5" s="33" t="s">
        <v>67</v>
      </c>
      <c r="AS5" s="33" t="s">
        <v>68</v>
      </c>
      <c r="AT5" s="33" t="s">
        <v>69</v>
      </c>
      <c r="AU5" s="33" t="s">
        <v>70</v>
      </c>
      <c r="AV5" s="15">
        <f>L5*H5^26</f>
        <v>404951.12895854883</v>
      </c>
      <c r="AW5" s="33" t="s">
        <v>72</v>
      </c>
      <c r="AX5" s="33" t="s">
        <v>63</v>
      </c>
      <c r="AY5" s="33" t="s">
        <v>64</v>
      </c>
      <c r="AZ5" s="33" t="s">
        <v>65</v>
      </c>
      <c r="BA5" s="35"/>
    </row>
    <row r="6" spans="1:53" ht="17.850000000000001" customHeight="1">
      <c r="A6" s="23" t="s">
        <v>76</v>
      </c>
      <c r="B6" s="6" t="s">
        <v>61</v>
      </c>
      <c r="C6" s="24" t="s">
        <v>62</v>
      </c>
      <c r="D6" s="25">
        <v>2018</v>
      </c>
      <c r="E6" s="12"/>
      <c r="F6" s="26">
        <v>10</v>
      </c>
      <c r="G6" s="27">
        <v>3</v>
      </c>
      <c r="H6" s="28">
        <f>H5</f>
        <v>1.0246500000000001</v>
      </c>
      <c r="I6" s="15">
        <v>166000</v>
      </c>
      <c r="J6" s="15">
        <v>155000</v>
      </c>
      <c r="K6" s="16">
        <v>64371</v>
      </c>
      <c r="L6" s="29">
        <v>215000</v>
      </c>
      <c r="M6" s="18" t="s">
        <v>70</v>
      </c>
      <c r="N6" s="18" t="s">
        <v>71</v>
      </c>
      <c r="O6" s="36" t="s">
        <v>77</v>
      </c>
      <c r="P6" s="15">
        <v>130000</v>
      </c>
      <c r="Q6" s="18" t="s">
        <v>72</v>
      </c>
      <c r="R6" s="18" t="s">
        <v>63</v>
      </c>
      <c r="S6" s="30">
        <v>2023</v>
      </c>
      <c r="T6" s="31" t="s">
        <v>64</v>
      </c>
      <c r="U6" s="31" t="s">
        <v>65</v>
      </c>
      <c r="V6" s="31" t="s">
        <v>66</v>
      </c>
      <c r="W6" s="33" t="s">
        <v>67</v>
      </c>
      <c r="X6" s="33" t="s">
        <v>68</v>
      </c>
      <c r="Y6" s="33" t="s">
        <v>69</v>
      </c>
      <c r="Z6" s="33" t="s">
        <v>70</v>
      </c>
      <c r="AA6" s="15">
        <f>L6*H6^5</f>
        <v>242837.73970062379</v>
      </c>
      <c r="AB6" s="33" t="s">
        <v>72</v>
      </c>
      <c r="AC6" s="33" t="s">
        <v>63</v>
      </c>
      <c r="AD6" s="33" t="s">
        <v>64</v>
      </c>
      <c r="AE6" s="33" t="s">
        <v>65</v>
      </c>
      <c r="AF6" s="33" t="s">
        <v>66</v>
      </c>
      <c r="AG6" s="33" t="s">
        <v>67</v>
      </c>
      <c r="AH6" s="33" t="s">
        <v>68</v>
      </c>
      <c r="AI6" s="33" t="s">
        <v>69</v>
      </c>
      <c r="AJ6" s="33" t="s">
        <v>70</v>
      </c>
      <c r="AK6" s="15">
        <f>L5*H5^15</f>
        <v>309793.01814778609</v>
      </c>
      <c r="AL6" s="33" t="s">
        <v>72</v>
      </c>
      <c r="AM6" s="33" t="s">
        <v>63</v>
      </c>
      <c r="AN6" s="33" t="s">
        <v>64</v>
      </c>
      <c r="AO6" s="33" t="s">
        <v>65</v>
      </c>
      <c r="AP6" s="33" t="s">
        <v>66</v>
      </c>
      <c r="AQ6" s="33" t="s">
        <v>67</v>
      </c>
      <c r="AR6" s="33" t="s">
        <v>68</v>
      </c>
      <c r="AS6" s="33" t="s">
        <v>69</v>
      </c>
      <c r="AT6" s="33" t="s">
        <v>70</v>
      </c>
      <c r="AU6" s="15">
        <f>L6*H6^25</f>
        <v>395209.22164499952</v>
      </c>
      <c r="AV6" s="33" t="s">
        <v>72</v>
      </c>
      <c r="AW6" s="33" t="s">
        <v>63</v>
      </c>
      <c r="AX6" s="33" t="s">
        <v>64</v>
      </c>
      <c r="AY6" s="33" t="s">
        <v>65</v>
      </c>
      <c r="AZ6" s="33" t="s">
        <v>66</v>
      </c>
      <c r="BA6" s="33" t="s">
        <v>67</v>
      </c>
    </row>
    <row r="7" spans="1:53" ht="17.850000000000001" customHeight="1">
      <c r="A7" s="23" t="s">
        <v>78</v>
      </c>
      <c r="B7" s="6" t="s">
        <v>61</v>
      </c>
      <c r="C7" s="24" t="s">
        <v>62</v>
      </c>
      <c r="D7" s="25">
        <v>2020</v>
      </c>
      <c r="E7" s="12"/>
      <c r="F7" s="26">
        <v>10</v>
      </c>
      <c r="G7" s="27">
        <v>1</v>
      </c>
      <c r="H7" s="28">
        <f>H6</f>
        <v>1.0246500000000001</v>
      </c>
      <c r="I7" s="15">
        <v>166000</v>
      </c>
      <c r="J7" s="15">
        <v>155000</v>
      </c>
      <c r="K7" s="16">
        <v>49494</v>
      </c>
      <c r="L7" s="29">
        <v>215000</v>
      </c>
      <c r="M7" s="18" t="s">
        <v>70</v>
      </c>
      <c r="N7" s="18" t="s">
        <v>71</v>
      </c>
      <c r="O7" s="36" t="s">
        <v>77</v>
      </c>
      <c r="P7" s="37" t="s">
        <v>79</v>
      </c>
      <c r="Q7" s="37" t="s">
        <v>80</v>
      </c>
      <c r="R7" s="38">
        <v>142791</v>
      </c>
      <c r="S7" s="30">
        <v>2023</v>
      </c>
      <c r="T7" s="31" t="s">
        <v>72</v>
      </c>
      <c r="U7" s="31" t="s">
        <v>63</v>
      </c>
      <c r="V7" s="31" t="s">
        <v>64</v>
      </c>
      <c r="W7" s="33" t="s">
        <v>65</v>
      </c>
      <c r="X7" s="33" t="s">
        <v>66</v>
      </c>
      <c r="Y7" s="33" t="s">
        <v>67</v>
      </c>
      <c r="Z7" s="33" t="s">
        <v>68</v>
      </c>
      <c r="AA7" s="33" t="s">
        <v>69</v>
      </c>
      <c r="AB7" s="33" t="s">
        <v>70</v>
      </c>
      <c r="AC7" s="15">
        <f>L7*H7^7</f>
        <v>254957.19394235581</v>
      </c>
      <c r="AD7" s="33" t="s">
        <v>72</v>
      </c>
      <c r="AE7" s="33" t="s">
        <v>63</v>
      </c>
      <c r="AF7" s="33" t="s">
        <v>64</v>
      </c>
      <c r="AG7" s="33" t="s">
        <v>65</v>
      </c>
      <c r="AH7" s="33" t="s">
        <v>66</v>
      </c>
      <c r="AI7" s="33" t="s">
        <v>67</v>
      </c>
      <c r="AJ7" s="33" t="s">
        <v>68</v>
      </c>
      <c r="AK7" s="33" t="s">
        <v>69</v>
      </c>
      <c r="AL7" s="33" t="s">
        <v>70</v>
      </c>
      <c r="AM7" s="15">
        <f>L7*H7^17</f>
        <v>325254.05115064152</v>
      </c>
      <c r="AN7" s="33" t="s">
        <v>72</v>
      </c>
      <c r="AO7" s="33" t="s">
        <v>63</v>
      </c>
      <c r="AP7" s="33" t="s">
        <v>64</v>
      </c>
      <c r="AQ7" s="33" t="s">
        <v>65</v>
      </c>
      <c r="AR7" s="33" t="s">
        <v>66</v>
      </c>
      <c r="AS7" s="33" t="s">
        <v>67</v>
      </c>
      <c r="AT7" s="33" t="s">
        <v>68</v>
      </c>
      <c r="AU7" s="33" t="s">
        <v>69</v>
      </c>
      <c r="AV7" s="33" t="s">
        <v>70</v>
      </c>
      <c r="AW7" s="15">
        <f>L7*H7^27</f>
        <v>414933.17428737704</v>
      </c>
      <c r="AX7" s="33" t="s">
        <v>72</v>
      </c>
      <c r="AY7" s="33" t="s">
        <v>63</v>
      </c>
      <c r="AZ7" s="33" t="s">
        <v>64</v>
      </c>
      <c r="BA7" s="39"/>
    </row>
    <row r="8" spans="1:53" ht="17.850000000000001" customHeight="1">
      <c r="A8" s="23" t="s">
        <v>81</v>
      </c>
      <c r="B8" s="6" t="s">
        <v>61</v>
      </c>
      <c r="C8" s="24" t="s">
        <v>62</v>
      </c>
      <c r="D8" s="25">
        <v>2015</v>
      </c>
      <c r="E8" s="12"/>
      <c r="F8" s="26">
        <v>10</v>
      </c>
      <c r="G8" s="27">
        <v>6</v>
      </c>
      <c r="H8" s="28">
        <f>H7</f>
        <v>1.0246500000000001</v>
      </c>
      <c r="I8" s="15">
        <v>166000</v>
      </c>
      <c r="J8" s="15">
        <v>160000</v>
      </c>
      <c r="K8" s="16">
        <v>20600</v>
      </c>
      <c r="L8" s="29">
        <v>215000</v>
      </c>
      <c r="M8" s="40">
        <v>155000</v>
      </c>
      <c r="N8" s="33" t="s">
        <v>72</v>
      </c>
      <c r="O8" s="18" t="s">
        <v>63</v>
      </c>
      <c r="P8" s="18" t="s">
        <v>64</v>
      </c>
      <c r="Q8" s="18" t="s">
        <v>65</v>
      </c>
      <c r="R8" s="18" t="s">
        <v>66</v>
      </c>
      <c r="S8" s="30">
        <v>2023</v>
      </c>
      <c r="T8" s="31" t="s">
        <v>67</v>
      </c>
      <c r="U8" s="31" t="s">
        <v>68</v>
      </c>
      <c r="V8" s="31" t="s">
        <v>69</v>
      </c>
      <c r="W8" s="33" t="s">
        <v>70</v>
      </c>
      <c r="X8" s="15">
        <f>L8*H8^2</f>
        <v>225730.13883750004</v>
      </c>
      <c r="Y8" s="33" t="s">
        <v>72</v>
      </c>
      <c r="Z8" s="33" t="s">
        <v>63</v>
      </c>
      <c r="AA8" s="33" t="s">
        <v>64</v>
      </c>
      <c r="AB8" s="33" t="s">
        <v>65</v>
      </c>
      <c r="AC8" s="33" t="s">
        <v>66</v>
      </c>
      <c r="AD8" s="33" t="s">
        <v>67</v>
      </c>
      <c r="AE8" s="33" t="s">
        <v>68</v>
      </c>
      <c r="AF8" s="33" t="s">
        <v>69</v>
      </c>
      <c r="AG8" s="33" t="s">
        <v>70</v>
      </c>
      <c r="AH8" s="15">
        <f>L8*H8^12</f>
        <v>287968.50556918723</v>
      </c>
      <c r="AI8" s="33" t="s">
        <v>72</v>
      </c>
      <c r="AJ8" s="33" t="s">
        <v>63</v>
      </c>
      <c r="AK8" s="33" t="s">
        <v>64</v>
      </c>
      <c r="AL8" s="33" t="s">
        <v>65</v>
      </c>
      <c r="AM8" s="33" t="s">
        <v>66</v>
      </c>
      <c r="AN8" s="33" t="s">
        <v>67</v>
      </c>
      <c r="AO8" s="33" t="s">
        <v>68</v>
      </c>
      <c r="AP8" s="33" t="s">
        <v>69</v>
      </c>
      <c r="AQ8" s="33" t="s">
        <v>70</v>
      </c>
      <c r="AR8" s="15">
        <f>L8*H8^22</f>
        <v>367367.24934833881</v>
      </c>
      <c r="AS8" s="33" t="s">
        <v>72</v>
      </c>
      <c r="AT8" s="33" t="s">
        <v>63</v>
      </c>
      <c r="AU8" s="33" t="s">
        <v>64</v>
      </c>
      <c r="AV8" s="33" t="s">
        <v>65</v>
      </c>
      <c r="AW8" s="33" t="s">
        <v>66</v>
      </c>
      <c r="AX8" s="33" t="s">
        <v>67</v>
      </c>
      <c r="AY8" s="33" t="s">
        <v>68</v>
      </c>
      <c r="AZ8" s="33" t="s">
        <v>69</v>
      </c>
      <c r="BA8" s="41"/>
    </row>
    <row r="9" spans="1:53" ht="18">
      <c r="A9" s="23" t="s">
        <v>82</v>
      </c>
      <c r="B9" s="6" t="s">
        <v>61</v>
      </c>
      <c r="C9" s="24" t="s">
        <v>62</v>
      </c>
      <c r="D9" s="25">
        <v>2022</v>
      </c>
      <c r="E9" s="12"/>
      <c r="F9" s="26">
        <v>10</v>
      </c>
      <c r="G9" s="42" t="s">
        <v>83</v>
      </c>
      <c r="H9" s="28">
        <f>H8</f>
        <v>1.0246500000000001</v>
      </c>
      <c r="I9" s="15">
        <v>166000</v>
      </c>
      <c r="J9" s="15"/>
      <c r="K9" s="16"/>
      <c r="L9" s="29">
        <v>215000</v>
      </c>
      <c r="M9" s="43" t="s">
        <v>84</v>
      </c>
      <c r="N9" s="43" t="s">
        <v>84</v>
      </c>
      <c r="O9" s="43" t="s">
        <v>84</v>
      </c>
      <c r="P9" s="43" t="s">
        <v>84</v>
      </c>
      <c r="Q9" s="43" t="s">
        <v>84</v>
      </c>
      <c r="R9" s="43" t="s">
        <v>84</v>
      </c>
      <c r="S9" s="30">
        <v>2023</v>
      </c>
      <c r="T9" s="44" t="s">
        <v>84</v>
      </c>
      <c r="U9" s="45">
        <v>166000</v>
      </c>
      <c r="V9" s="31" t="s">
        <v>72</v>
      </c>
      <c r="W9" s="33" t="s">
        <v>63</v>
      </c>
      <c r="X9" s="33" t="s">
        <v>64</v>
      </c>
      <c r="Y9" s="33" t="s">
        <v>65</v>
      </c>
      <c r="Z9" s="33" t="s">
        <v>66</v>
      </c>
      <c r="AA9" s="33" t="s">
        <v>67</v>
      </c>
      <c r="AB9" s="33" t="s">
        <v>68</v>
      </c>
      <c r="AC9" s="33" t="s">
        <v>69</v>
      </c>
      <c r="AD9" s="33" t="s">
        <v>70</v>
      </c>
      <c r="AE9" s="15">
        <f>L9*H9^9</f>
        <v>267681.50133129029</v>
      </c>
      <c r="AF9" s="33" t="s">
        <v>72</v>
      </c>
      <c r="AG9" s="33" t="s">
        <v>63</v>
      </c>
      <c r="AH9" s="33" t="s">
        <v>64</v>
      </c>
      <c r="AI9" s="33" t="s">
        <v>65</v>
      </c>
      <c r="AJ9" s="33" t="s">
        <v>66</v>
      </c>
      <c r="AK9" s="33" t="s">
        <v>67</v>
      </c>
      <c r="AL9" s="33" t="s">
        <v>68</v>
      </c>
      <c r="AM9" s="33" t="s">
        <v>69</v>
      </c>
      <c r="AN9" s="33" t="s">
        <v>70</v>
      </c>
      <c r="AO9" s="15">
        <f>L9*H9^19</f>
        <v>341486.70755206345</v>
      </c>
      <c r="AP9" s="33" t="s">
        <v>72</v>
      </c>
      <c r="AQ9" s="33" t="s">
        <v>63</v>
      </c>
      <c r="AR9" s="33" t="s">
        <v>64</v>
      </c>
      <c r="AS9" s="33" t="s">
        <v>65</v>
      </c>
      <c r="AT9" s="33" t="s">
        <v>66</v>
      </c>
      <c r="AU9" s="33" t="s">
        <v>67</v>
      </c>
      <c r="AV9" s="33" t="s">
        <v>68</v>
      </c>
      <c r="AW9" s="33" t="s">
        <v>69</v>
      </c>
      <c r="AX9" s="33" t="s">
        <v>70</v>
      </c>
      <c r="AY9" s="15">
        <f>L9*H9^29</f>
        <v>435641.50251243828</v>
      </c>
      <c r="AZ9" s="33" t="s">
        <v>72</v>
      </c>
      <c r="BA9" s="33" t="s">
        <v>63</v>
      </c>
    </row>
    <row r="10" spans="1:53" ht="17.850000000000001" customHeight="1">
      <c r="A10" s="46"/>
      <c r="B10" s="47"/>
      <c r="C10" s="48"/>
      <c r="D10" s="49"/>
      <c r="E10" s="12"/>
      <c r="F10" s="49"/>
      <c r="G10" s="50"/>
      <c r="H10" s="51"/>
      <c r="I10" s="15"/>
      <c r="J10" s="15"/>
      <c r="K10" s="16"/>
      <c r="L10" s="52" t="s">
        <v>85</v>
      </c>
      <c r="M10" s="53"/>
      <c r="N10" s="53"/>
      <c r="O10" s="54"/>
      <c r="P10" s="54"/>
      <c r="Q10" s="54"/>
      <c r="R10" s="54"/>
      <c r="S10" s="55"/>
      <c r="T10" s="45"/>
      <c r="U10" s="45"/>
      <c r="V10" s="45"/>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row>
    <row r="11" spans="1:53" ht="31.5">
      <c r="A11" s="23" t="s">
        <v>86</v>
      </c>
      <c r="B11" s="6" t="s">
        <v>87</v>
      </c>
      <c r="C11" s="24" t="s">
        <v>62</v>
      </c>
      <c r="D11" s="25">
        <v>2017</v>
      </c>
      <c r="E11" s="12"/>
      <c r="F11" s="26">
        <v>10</v>
      </c>
      <c r="G11" s="27">
        <v>4</v>
      </c>
      <c r="H11" s="28">
        <f>H9</f>
        <v>1.0246500000000001</v>
      </c>
      <c r="I11" s="56"/>
      <c r="J11" s="15"/>
      <c r="K11" s="16"/>
      <c r="L11" s="29">
        <v>275000</v>
      </c>
      <c r="M11" s="36" t="s">
        <v>77</v>
      </c>
      <c r="N11" s="36" t="s">
        <v>88</v>
      </c>
      <c r="O11" s="15">
        <v>177000</v>
      </c>
      <c r="P11" s="18" t="s">
        <v>72</v>
      </c>
      <c r="Q11" s="18" t="s">
        <v>63</v>
      </c>
      <c r="R11" s="18" t="s">
        <v>64</v>
      </c>
      <c r="S11" s="30">
        <v>2023</v>
      </c>
      <c r="T11" s="44" t="s">
        <v>89</v>
      </c>
      <c r="U11" s="31" t="s">
        <v>66</v>
      </c>
      <c r="V11" s="31" t="s">
        <v>67</v>
      </c>
      <c r="W11" s="33" t="s">
        <v>68</v>
      </c>
      <c r="X11" s="33" t="s">
        <v>69</v>
      </c>
      <c r="Y11" s="33" t="s">
        <v>70</v>
      </c>
      <c r="Z11" s="34">
        <f>L11*H11^4</f>
        <v>303134.15434049082</v>
      </c>
      <c r="AA11" s="33" t="s">
        <v>72</v>
      </c>
      <c r="AB11" s="33" t="s">
        <v>63</v>
      </c>
      <c r="AC11" s="33" t="s">
        <v>64</v>
      </c>
      <c r="AD11" s="33" t="s">
        <v>65</v>
      </c>
      <c r="AE11" s="33" t="s">
        <v>66</v>
      </c>
      <c r="AF11" s="33" t="s">
        <v>67</v>
      </c>
      <c r="AG11" s="33" t="s">
        <v>68</v>
      </c>
      <c r="AH11" s="33" t="s">
        <v>69</v>
      </c>
      <c r="AI11" s="33" t="s">
        <v>70</v>
      </c>
      <c r="AJ11" s="15">
        <f>L11*H11^14</f>
        <v>386714.37434968114</v>
      </c>
      <c r="AK11" s="33" t="s">
        <v>72</v>
      </c>
      <c r="AL11" s="33" t="s">
        <v>63</v>
      </c>
      <c r="AM11" s="33" t="s">
        <v>64</v>
      </c>
      <c r="AN11" s="33" t="s">
        <v>65</v>
      </c>
      <c r="AO11" s="33" t="s">
        <v>66</v>
      </c>
      <c r="AP11" s="33" t="s">
        <v>67</v>
      </c>
      <c r="AQ11" s="33" t="s">
        <v>68</v>
      </c>
      <c r="AR11" s="33" t="s">
        <v>69</v>
      </c>
      <c r="AS11" s="33" t="s">
        <v>70</v>
      </c>
      <c r="AT11" s="15">
        <f>L11*(H11^24)</f>
        <v>493339.35218889202</v>
      </c>
      <c r="AU11" s="33" t="s">
        <v>72</v>
      </c>
      <c r="AV11" s="33" t="s">
        <v>63</v>
      </c>
      <c r="AW11" s="33" t="s">
        <v>64</v>
      </c>
      <c r="AX11" s="33" t="s">
        <v>65</v>
      </c>
      <c r="AY11" s="33" t="s">
        <v>66</v>
      </c>
      <c r="AZ11" s="57" t="s">
        <v>67</v>
      </c>
      <c r="BA11" s="39"/>
    </row>
    <row r="12" spans="1:53" ht="17.850000000000001" customHeight="1">
      <c r="A12" s="58"/>
      <c r="B12" s="58"/>
      <c r="C12" s="59"/>
      <c r="D12" s="59"/>
      <c r="E12" s="60"/>
      <c r="F12" s="59"/>
      <c r="G12" s="61"/>
      <c r="H12" s="59"/>
      <c r="I12" s="62"/>
      <c r="J12" s="63"/>
      <c r="K12" s="64"/>
      <c r="L12" s="59"/>
      <c r="M12" s="65"/>
      <c r="N12" s="65"/>
      <c r="O12" s="63"/>
      <c r="P12" s="66"/>
      <c r="Q12" s="66"/>
      <c r="R12" s="66"/>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67"/>
      <c r="AR12" s="59"/>
      <c r="AS12" s="59"/>
      <c r="AT12" s="59"/>
      <c r="AU12" s="59"/>
      <c r="AV12" s="59"/>
      <c r="AW12" s="59"/>
      <c r="AX12" s="59"/>
      <c r="AY12" s="59"/>
      <c r="AZ12" s="59"/>
      <c r="BA12" s="68"/>
    </row>
    <row r="13" spans="1:53" ht="17.850000000000001" customHeight="1">
      <c r="A13" s="23" t="s">
        <v>90</v>
      </c>
      <c r="B13" s="6" t="s">
        <v>90</v>
      </c>
      <c r="C13" s="69" t="s">
        <v>91</v>
      </c>
      <c r="D13" s="69" t="s">
        <v>91</v>
      </c>
      <c r="E13" s="12"/>
      <c r="F13" s="70">
        <v>15</v>
      </c>
      <c r="G13" s="42" t="s">
        <v>91</v>
      </c>
      <c r="H13" s="28">
        <f>H14</f>
        <v>1.0246500000000001</v>
      </c>
      <c r="I13" s="15"/>
      <c r="J13" s="15"/>
      <c r="K13" s="16"/>
      <c r="L13" s="71">
        <v>310000</v>
      </c>
      <c r="M13" s="15"/>
      <c r="N13" s="15"/>
      <c r="O13" s="15"/>
      <c r="P13" s="15"/>
      <c r="Q13" s="15"/>
      <c r="R13" s="15"/>
      <c r="S13" s="30">
        <v>2023</v>
      </c>
      <c r="T13" s="72" t="s">
        <v>92</v>
      </c>
      <c r="U13" s="72" t="s">
        <v>92</v>
      </c>
      <c r="V13" s="72" t="s">
        <v>92</v>
      </c>
      <c r="W13" s="73">
        <v>90000</v>
      </c>
      <c r="X13" s="33" t="s">
        <v>72</v>
      </c>
      <c r="Y13" s="33" t="s">
        <v>63</v>
      </c>
      <c r="Z13" s="33" t="s">
        <v>64</v>
      </c>
      <c r="AA13" s="33" t="s">
        <v>65</v>
      </c>
      <c r="AB13" s="33" t="s">
        <v>66</v>
      </c>
      <c r="AC13" s="33" t="s">
        <v>67</v>
      </c>
      <c r="AD13" s="33" t="s">
        <v>68</v>
      </c>
      <c r="AE13" s="33" t="s">
        <v>69</v>
      </c>
      <c r="AF13" s="74" t="s">
        <v>70</v>
      </c>
      <c r="AG13" s="33" t="s">
        <v>71</v>
      </c>
      <c r="AH13" s="33" t="s">
        <v>77</v>
      </c>
      <c r="AI13" s="33" t="s">
        <v>88</v>
      </c>
      <c r="AJ13" s="33" t="s">
        <v>93</v>
      </c>
      <c r="AK13" s="33" t="s">
        <v>94</v>
      </c>
      <c r="AL13" s="33" t="s">
        <v>95</v>
      </c>
      <c r="AM13" s="33" t="s">
        <v>96</v>
      </c>
      <c r="AN13" s="33" t="s">
        <v>97</v>
      </c>
      <c r="AO13" s="33" t="s">
        <v>98</v>
      </c>
      <c r="AP13" s="75" t="s">
        <v>99</v>
      </c>
      <c r="AQ13" s="76">
        <f>L13*H13^22</f>
        <v>529692.31301388389</v>
      </c>
      <c r="AR13" s="77" t="s">
        <v>72</v>
      </c>
      <c r="AS13" s="33" t="s">
        <v>63</v>
      </c>
      <c r="AT13" s="33" t="s">
        <v>64</v>
      </c>
      <c r="AU13" s="33" t="s">
        <v>65</v>
      </c>
      <c r="AV13" s="33" t="s">
        <v>66</v>
      </c>
      <c r="AW13" s="33" t="s">
        <v>67</v>
      </c>
      <c r="AX13" s="33" t="s">
        <v>68</v>
      </c>
      <c r="AY13" s="33" t="s">
        <v>69</v>
      </c>
      <c r="AZ13" s="74" t="s">
        <v>70</v>
      </c>
      <c r="BA13" s="78"/>
    </row>
    <row r="14" spans="1:53" ht="17.850000000000001" customHeight="1">
      <c r="A14" s="23" t="s">
        <v>100</v>
      </c>
      <c r="B14" s="6" t="s">
        <v>100</v>
      </c>
      <c r="C14" s="24" t="s">
        <v>101</v>
      </c>
      <c r="D14" s="25">
        <v>2012</v>
      </c>
      <c r="E14" s="12"/>
      <c r="F14" s="70">
        <v>23</v>
      </c>
      <c r="G14" s="50">
        <v>35</v>
      </c>
      <c r="H14" s="28">
        <f>H41</f>
        <v>1.0246500000000001</v>
      </c>
      <c r="I14" s="45"/>
      <c r="J14" s="45"/>
      <c r="K14" s="79"/>
      <c r="L14" s="71">
        <v>275000</v>
      </c>
      <c r="M14" s="80"/>
      <c r="N14" s="45"/>
      <c r="O14" s="45"/>
      <c r="P14" s="45"/>
      <c r="Q14" s="45"/>
      <c r="R14" s="45"/>
      <c r="S14" s="30">
        <v>2023</v>
      </c>
      <c r="T14" s="31" t="s">
        <v>102</v>
      </c>
      <c r="U14" s="81" t="s">
        <v>103</v>
      </c>
      <c r="V14" s="45">
        <v>0</v>
      </c>
      <c r="W14" s="33" t="s">
        <v>88</v>
      </c>
      <c r="X14" s="33" t="s">
        <v>93</v>
      </c>
      <c r="Y14" s="33" t="s">
        <v>94</v>
      </c>
      <c r="Z14" s="33" t="s">
        <v>95</v>
      </c>
      <c r="AA14" s="33" t="s">
        <v>96</v>
      </c>
      <c r="AB14" s="33" t="s">
        <v>97</v>
      </c>
      <c r="AC14" s="33" t="s">
        <v>98</v>
      </c>
      <c r="AD14" s="33" t="s">
        <v>99</v>
      </c>
      <c r="AE14" s="75" t="s">
        <v>104</v>
      </c>
      <c r="AF14" s="76">
        <f>L14*H14^11</f>
        <v>359470.85292437457</v>
      </c>
      <c r="AG14" s="77" t="s">
        <v>72</v>
      </c>
      <c r="AH14" s="33" t="s">
        <v>63</v>
      </c>
      <c r="AI14" s="33" t="s">
        <v>64</v>
      </c>
      <c r="AJ14" s="33" t="s">
        <v>65</v>
      </c>
      <c r="AK14" s="33" t="s">
        <v>66</v>
      </c>
      <c r="AL14" s="33" t="s">
        <v>67</v>
      </c>
      <c r="AM14" s="33" t="s">
        <v>68</v>
      </c>
      <c r="AN14" s="33" t="s">
        <v>69</v>
      </c>
      <c r="AO14" s="33" t="s">
        <v>70</v>
      </c>
      <c r="AP14" s="33" t="s">
        <v>71</v>
      </c>
      <c r="AQ14" s="33" t="s">
        <v>77</v>
      </c>
      <c r="AR14" s="33" t="s">
        <v>88</v>
      </c>
      <c r="AS14" s="33" t="s">
        <v>93</v>
      </c>
      <c r="AT14" s="33" t="s">
        <v>94</v>
      </c>
      <c r="AU14" s="33" t="s">
        <v>95</v>
      </c>
      <c r="AV14" s="33" t="s">
        <v>96</v>
      </c>
      <c r="AW14" s="33" t="s">
        <v>97</v>
      </c>
      <c r="AX14" s="33" t="s">
        <v>98</v>
      </c>
      <c r="AY14" s="75" t="s">
        <v>99</v>
      </c>
      <c r="AZ14" s="82">
        <f>L14*H14^31</f>
        <v>585025.19486241636</v>
      </c>
      <c r="BA14" s="83"/>
    </row>
    <row r="15" spans="1:53" ht="17.850000000000001" customHeight="1">
      <c r="A15" s="46"/>
      <c r="B15" s="47"/>
      <c r="C15" s="84"/>
      <c r="D15" s="84"/>
      <c r="E15" s="12"/>
      <c r="F15" s="84"/>
      <c r="G15" s="50"/>
      <c r="H15" s="51"/>
      <c r="I15" s="15"/>
      <c r="J15" s="15"/>
      <c r="K15" s="16"/>
      <c r="L15" s="55"/>
      <c r="M15" s="53"/>
      <c r="N15" s="53"/>
      <c r="O15" s="54"/>
      <c r="P15" s="54"/>
      <c r="Q15" s="54"/>
      <c r="R15" s="54"/>
      <c r="S15" s="55"/>
      <c r="T15" s="45"/>
      <c r="U15" s="45"/>
      <c r="V15" s="45"/>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85"/>
      <c r="BA15" s="54"/>
    </row>
    <row r="16" spans="1:53" ht="31.5">
      <c r="A16" s="23" t="s">
        <v>105</v>
      </c>
      <c r="B16" s="6" t="s">
        <v>106</v>
      </c>
      <c r="C16" s="24" t="s">
        <v>107</v>
      </c>
      <c r="D16" s="25">
        <v>2016</v>
      </c>
      <c r="E16" s="12"/>
      <c r="F16" s="26">
        <v>10</v>
      </c>
      <c r="G16" s="50">
        <v>5</v>
      </c>
      <c r="H16" s="28">
        <f>H11</f>
        <v>1.0246500000000001</v>
      </c>
      <c r="I16" s="15">
        <v>140000</v>
      </c>
      <c r="J16" s="15"/>
      <c r="K16" s="86">
        <v>1127</v>
      </c>
      <c r="L16" s="29">
        <v>127855</v>
      </c>
      <c r="M16" s="37" t="s">
        <v>80</v>
      </c>
      <c r="N16" s="15">
        <v>102288</v>
      </c>
      <c r="O16" s="18" t="s">
        <v>72</v>
      </c>
      <c r="P16" s="18" t="s">
        <v>63</v>
      </c>
      <c r="Q16" s="18" t="s">
        <v>64</v>
      </c>
      <c r="R16" s="18" t="s">
        <v>65</v>
      </c>
      <c r="S16" s="87">
        <v>2023</v>
      </c>
      <c r="T16" s="88"/>
      <c r="U16" s="31" t="s">
        <v>66</v>
      </c>
      <c r="V16" s="31" t="s">
        <v>67</v>
      </c>
      <c r="W16" s="33" t="s">
        <v>68</v>
      </c>
      <c r="X16" s="33" t="s">
        <v>69</v>
      </c>
      <c r="Y16" s="33" t="s">
        <v>70</v>
      </c>
      <c r="Z16" s="32" t="s">
        <v>108</v>
      </c>
      <c r="AA16" s="32" t="s">
        <v>109</v>
      </c>
      <c r="AB16" s="15">
        <f>L16*H16^6</f>
        <v>147969.08317644437</v>
      </c>
      <c r="AC16" s="33" t="s">
        <v>72</v>
      </c>
      <c r="AD16" s="33" t="s">
        <v>63</v>
      </c>
      <c r="AE16" s="33" t="s">
        <v>64</v>
      </c>
      <c r="AF16" s="33" t="s">
        <v>65</v>
      </c>
      <c r="AG16" s="33" t="s">
        <v>66</v>
      </c>
      <c r="AH16" s="33" t="s">
        <v>67</v>
      </c>
      <c r="AI16" s="33" t="s">
        <v>68</v>
      </c>
      <c r="AJ16" s="33" t="s">
        <v>69</v>
      </c>
      <c r="AK16" s="33" t="s">
        <v>70</v>
      </c>
      <c r="AL16" s="15">
        <f>L16*H16^16</f>
        <v>188767.15343465103</v>
      </c>
      <c r="AM16" s="33" t="s">
        <v>72</v>
      </c>
      <c r="AN16" s="33" t="s">
        <v>63</v>
      </c>
      <c r="AO16" s="33" t="s">
        <v>64</v>
      </c>
      <c r="AP16" s="33" t="s">
        <v>65</v>
      </c>
      <c r="AQ16" s="33" t="s">
        <v>66</v>
      </c>
      <c r="AR16" s="33" t="s">
        <v>67</v>
      </c>
      <c r="AS16" s="33" t="s">
        <v>68</v>
      </c>
      <c r="AT16" s="33" t="s">
        <v>69</v>
      </c>
      <c r="AU16" s="33" t="s">
        <v>70</v>
      </c>
      <c r="AV16" s="15">
        <f>L16*H16^26</f>
        <v>240814.07717672212</v>
      </c>
      <c r="AW16" s="33" t="s">
        <v>72</v>
      </c>
      <c r="AX16" s="33" t="s">
        <v>63</v>
      </c>
      <c r="AY16" s="33" t="s">
        <v>64</v>
      </c>
      <c r="AZ16" s="33" t="s">
        <v>65</v>
      </c>
      <c r="BA16" s="33" t="s">
        <v>66</v>
      </c>
    </row>
    <row r="17" spans="1:53" ht="31.5">
      <c r="A17" s="23" t="s">
        <v>110</v>
      </c>
      <c r="B17" s="6" t="s">
        <v>106</v>
      </c>
      <c r="C17" s="24" t="s">
        <v>107</v>
      </c>
      <c r="D17" s="25">
        <v>2008</v>
      </c>
      <c r="E17" s="12"/>
      <c r="F17" s="26">
        <v>10</v>
      </c>
      <c r="G17" s="27">
        <v>13</v>
      </c>
      <c r="H17" s="28">
        <f>H16</f>
        <v>1.0246500000000001</v>
      </c>
      <c r="I17" s="15">
        <v>155000</v>
      </c>
      <c r="J17" s="15"/>
      <c r="K17" s="86">
        <v>6120</v>
      </c>
      <c r="L17" s="71">
        <f>L16</f>
        <v>127855</v>
      </c>
      <c r="M17" s="89" t="s">
        <v>67</v>
      </c>
      <c r="N17" s="89" t="s">
        <v>68</v>
      </c>
      <c r="O17" s="89" t="s">
        <v>69</v>
      </c>
      <c r="P17" s="89" t="s">
        <v>70</v>
      </c>
      <c r="Q17" s="89" t="s">
        <v>103</v>
      </c>
      <c r="R17" s="89" t="s">
        <v>111</v>
      </c>
      <c r="S17" s="87">
        <v>2023</v>
      </c>
      <c r="T17" s="31" t="s">
        <v>77</v>
      </c>
      <c r="U17" s="31" t="s">
        <v>88</v>
      </c>
      <c r="V17" s="45">
        <v>152215</v>
      </c>
      <c r="W17" s="33" t="s">
        <v>72</v>
      </c>
      <c r="X17" s="33" t="s">
        <v>63</v>
      </c>
      <c r="Y17" s="33" t="s">
        <v>64</v>
      </c>
      <c r="Z17" s="33" t="s">
        <v>65</v>
      </c>
      <c r="AA17" s="33" t="s">
        <v>66</v>
      </c>
      <c r="AB17" s="33" t="s">
        <v>67</v>
      </c>
      <c r="AC17" s="33" t="s">
        <v>68</v>
      </c>
      <c r="AD17" s="33" t="s">
        <v>69</v>
      </c>
      <c r="AE17" s="33" t="s">
        <v>70</v>
      </c>
      <c r="AF17" s="15">
        <f>L17*H17^10</f>
        <v>163107.21053537895</v>
      </c>
      <c r="AG17" s="33" t="s">
        <v>72</v>
      </c>
      <c r="AH17" s="33" t="s">
        <v>63</v>
      </c>
      <c r="AI17" s="33" t="s">
        <v>64</v>
      </c>
      <c r="AJ17" s="33" t="s">
        <v>65</v>
      </c>
      <c r="AK17" s="33" t="s">
        <v>66</v>
      </c>
      <c r="AL17" s="33" t="s">
        <v>67</v>
      </c>
      <c r="AM17" s="33" t="s">
        <v>68</v>
      </c>
      <c r="AN17" s="33" t="s">
        <v>69</v>
      </c>
      <c r="AO17" s="33" t="s">
        <v>70</v>
      </c>
      <c r="AP17" s="15">
        <f>L17*H17^20</f>
        <v>208079.16881336225</v>
      </c>
      <c r="AQ17" s="33" t="s">
        <v>72</v>
      </c>
      <c r="AR17" s="33" t="s">
        <v>63</v>
      </c>
      <c r="AS17" s="33" t="s">
        <v>64</v>
      </c>
      <c r="AT17" s="33" t="s">
        <v>65</v>
      </c>
      <c r="AU17" s="33" t="s">
        <v>66</v>
      </c>
      <c r="AV17" s="33" t="s">
        <v>67</v>
      </c>
      <c r="AW17" s="33" t="s">
        <v>68</v>
      </c>
      <c r="AX17" s="33" t="s">
        <v>69</v>
      </c>
      <c r="AY17" s="33" t="s">
        <v>70</v>
      </c>
      <c r="AZ17" s="15">
        <f>L17*H17^30</f>
        <v>265450.8059572776</v>
      </c>
      <c r="BA17" s="33" t="s">
        <v>72</v>
      </c>
    </row>
    <row r="18" spans="1:53" ht="17.850000000000001" customHeight="1">
      <c r="A18" s="46"/>
      <c r="B18" s="47"/>
      <c r="C18" s="84"/>
      <c r="D18" s="84"/>
      <c r="E18" s="12"/>
      <c r="F18" s="49"/>
      <c r="G18" s="50"/>
      <c r="H18" s="51"/>
      <c r="I18" s="15"/>
      <c r="J18" s="15"/>
      <c r="K18" s="16"/>
      <c r="L18" s="55"/>
      <c r="M18" s="15"/>
      <c r="N18" s="15"/>
      <c r="O18" s="15"/>
      <c r="P18" s="15"/>
      <c r="Q18" s="15"/>
      <c r="R18" s="15"/>
      <c r="S18" s="55"/>
      <c r="T18" s="45"/>
      <c r="U18" s="45"/>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row>
    <row r="19" spans="1:53" ht="17.850000000000001" customHeight="1">
      <c r="A19" s="23" t="s">
        <v>112</v>
      </c>
      <c r="B19" s="6" t="s">
        <v>113</v>
      </c>
      <c r="C19" s="90" t="s">
        <v>114</v>
      </c>
      <c r="D19" s="91">
        <v>2020</v>
      </c>
      <c r="E19" s="12"/>
      <c r="F19" s="26">
        <v>10</v>
      </c>
      <c r="G19" s="92">
        <v>1</v>
      </c>
      <c r="H19" s="28">
        <f>H17</f>
        <v>1.0246500000000001</v>
      </c>
      <c r="I19" s="15"/>
      <c r="J19" s="15"/>
      <c r="K19" s="16"/>
      <c r="L19" s="29">
        <v>50000</v>
      </c>
      <c r="M19" s="93" t="s">
        <v>64</v>
      </c>
      <c r="N19" s="93" t="s">
        <v>65</v>
      </c>
      <c r="O19" s="93" t="s">
        <v>66</v>
      </c>
      <c r="P19" s="93" t="s">
        <v>67</v>
      </c>
      <c r="Q19" s="18" t="s">
        <v>68</v>
      </c>
      <c r="R19" s="18" t="s">
        <v>69</v>
      </c>
      <c r="S19" s="87">
        <v>2023</v>
      </c>
      <c r="T19" s="94">
        <v>32125</v>
      </c>
      <c r="U19" s="95" t="s">
        <v>72</v>
      </c>
      <c r="V19" s="95" t="s">
        <v>63</v>
      </c>
      <c r="W19" s="96" t="s">
        <v>115</v>
      </c>
      <c r="X19" s="96" t="s">
        <v>65</v>
      </c>
      <c r="Y19" s="96" t="s">
        <v>66</v>
      </c>
      <c r="Z19" s="96" t="s">
        <v>67</v>
      </c>
      <c r="AA19" s="96" t="s">
        <v>68</v>
      </c>
      <c r="AB19" s="33" t="s">
        <v>74</v>
      </c>
      <c r="AC19" s="15">
        <f>L19*H19^7</f>
        <v>59292.37068426879</v>
      </c>
      <c r="AD19" s="96" t="s">
        <v>72</v>
      </c>
      <c r="AE19" s="96" t="s">
        <v>63</v>
      </c>
      <c r="AF19" s="97" t="s">
        <v>64</v>
      </c>
      <c r="AG19" s="98" t="s">
        <v>65</v>
      </c>
      <c r="AH19" s="99" t="s">
        <v>66</v>
      </c>
      <c r="AI19" s="96" t="s">
        <v>67</v>
      </c>
      <c r="AJ19" s="96" t="s">
        <v>68</v>
      </c>
      <c r="AK19" s="96" t="s">
        <v>74</v>
      </c>
      <c r="AL19" s="15">
        <f>L19*H19^16</f>
        <v>73820.794429099784</v>
      </c>
      <c r="AM19" s="96" t="s">
        <v>72</v>
      </c>
      <c r="AN19" s="96" t="s">
        <v>63</v>
      </c>
      <c r="AO19" s="96" t="s">
        <v>64</v>
      </c>
      <c r="AP19" s="96" t="s">
        <v>65</v>
      </c>
      <c r="AQ19" s="96" t="s">
        <v>66</v>
      </c>
      <c r="AR19" s="96" t="s">
        <v>67</v>
      </c>
      <c r="AS19" s="33" t="s">
        <v>68</v>
      </c>
      <c r="AT19" s="33" t="s">
        <v>69</v>
      </c>
      <c r="AU19" s="33" t="s">
        <v>70</v>
      </c>
      <c r="AV19" s="15">
        <f>L19*H19^26</f>
        <v>94174.681153150887</v>
      </c>
      <c r="AW19" s="33" t="s">
        <v>72</v>
      </c>
      <c r="AX19" s="33" t="s">
        <v>63</v>
      </c>
      <c r="AY19" s="33" t="s">
        <v>64</v>
      </c>
      <c r="AZ19" s="33" t="s">
        <v>65</v>
      </c>
      <c r="BA19" s="57" t="s">
        <v>66</v>
      </c>
    </row>
    <row r="20" spans="1:53" ht="17.850000000000001" customHeight="1">
      <c r="A20" s="23" t="s">
        <v>116</v>
      </c>
      <c r="B20" s="6" t="s">
        <v>113</v>
      </c>
      <c r="C20" s="90" t="s">
        <v>114</v>
      </c>
      <c r="D20" s="25">
        <v>2016</v>
      </c>
      <c r="E20" s="12"/>
      <c r="F20" s="26">
        <v>10</v>
      </c>
      <c r="G20" s="42" t="s">
        <v>117</v>
      </c>
      <c r="H20" s="28">
        <f>H19</f>
        <v>1.0246500000000001</v>
      </c>
      <c r="I20" s="15">
        <v>120000</v>
      </c>
      <c r="J20" s="15"/>
      <c r="K20" s="86">
        <v>487</v>
      </c>
      <c r="L20" s="29">
        <v>50000</v>
      </c>
      <c r="M20" s="18" t="s">
        <v>77</v>
      </c>
      <c r="N20" s="18" t="s">
        <v>118</v>
      </c>
      <c r="O20" s="18" t="s">
        <v>63</v>
      </c>
      <c r="P20" s="18" t="s">
        <v>64</v>
      </c>
      <c r="Q20" s="18" t="s">
        <v>65</v>
      </c>
      <c r="R20" s="18" t="s">
        <v>66</v>
      </c>
      <c r="S20" s="30">
        <v>2023</v>
      </c>
      <c r="T20" s="81" t="s">
        <v>67</v>
      </c>
      <c r="U20" s="31" t="s">
        <v>68</v>
      </c>
      <c r="V20" s="33" t="s">
        <v>69</v>
      </c>
      <c r="W20" s="100">
        <v>56000</v>
      </c>
      <c r="X20" s="33" t="s">
        <v>72</v>
      </c>
      <c r="Y20" s="33" t="s">
        <v>63</v>
      </c>
      <c r="Z20" s="33" t="s">
        <v>64</v>
      </c>
      <c r="AA20" s="33" t="s">
        <v>65</v>
      </c>
      <c r="AB20" s="33" t="s">
        <v>66</v>
      </c>
      <c r="AC20" s="33" t="s">
        <v>67</v>
      </c>
      <c r="AD20" s="33" t="s">
        <v>68</v>
      </c>
      <c r="AE20" s="33" t="s">
        <v>69</v>
      </c>
      <c r="AF20" s="33" t="s">
        <v>70</v>
      </c>
      <c r="AG20" s="15">
        <f>L20*H20^11</f>
        <v>65358.336895340828</v>
      </c>
      <c r="AH20" s="33" t="s">
        <v>72</v>
      </c>
      <c r="AI20" s="33" t="s">
        <v>63</v>
      </c>
      <c r="AJ20" s="33" t="s">
        <v>64</v>
      </c>
      <c r="AK20" s="33" t="s">
        <v>65</v>
      </c>
      <c r="AL20" s="33" t="s">
        <v>66</v>
      </c>
      <c r="AM20" s="33" t="s">
        <v>67</v>
      </c>
      <c r="AN20" s="33" t="s">
        <v>68</v>
      </c>
      <c r="AO20" s="33" t="s">
        <v>69</v>
      </c>
      <c r="AP20" s="33" t="s">
        <v>70</v>
      </c>
      <c r="AQ20" s="15">
        <f>L20*H20^21</f>
        <v>83378.952846823217</v>
      </c>
      <c r="AR20" s="33" t="s">
        <v>72</v>
      </c>
      <c r="AS20" s="33" t="s">
        <v>63</v>
      </c>
      <c r="AT20" s="33" t="s">
        <v>64</v>
      </c>
      <c r="AU20" s="33" t="s">
        <v>65</v>
      </c>
      <c r="AV20" s="33" t="s">
        <v>66</v>
      </c>
      <c r="AW20" s="33" t="s">
        <v>67</v>
      </c>
      <c r="AX20" s="33" t="s">
        <v>68</v>
      </c>
      <c r="AY20" s="33" t="s">
        <v>69</v>
      </c>
      <c r="AZ20" s="33" t="s">
        <v>70</v>
      </c>
      <c r="BA20" s="34">
        <f>L20*H20^31</f>
        <v>106368.21724771206</v>
      </c>
    </row>
    <row r="21" spans="1:53" ht="17.850000000000001" customHeight="1">
      <c r="A21" s="23" t="s">
        <v>119</v>
      </c>
      <c r="B21" s="6" t="s">
        <v>120</v>
      </c>
      <c r="C21" s="90" t="s">
        <v>114</v>
      </c>
      <c r="D21" s="25">
        <v>2015</v>
      </c>
      <c r="E21" s="12"/>
      <c r="F21" s="26">
        <v>10</v>
      </c>
      <c r="G21" s="27">
        <v>6</v>
      </c>
      <c r="H21" s="28">
        <f>H20</f>
        <v>1.0246500000000001</v>
      </c>
      <c r="I21" s="15">
        <v>143000</v>
      </c>
      <c r="J21" s="15"/>
      <c r="K21" s="86">
        <v>664</v>
      </c>
      <c r="L21" s="29">
        <v>56000</v>
      </c>
      <c r="M21" s="101"/>
      <c r="N21" s="15">
        <v>24000</v>
      </c>
      <c r="O21" s="18" t="s">
        <v>72</v>
      </c>
      <c r="P21" s="18" t="s">
        <v>63</v>
      </c>
      <c r="Q21" s="18" t="s">
        <v>64</v>
      </c>
      <c r="R21" s="18" t="s">
        <v>65</v>
      </c>
      <c r="S21" s="30">
        <v>2023</v>
      </c>
      <c r="T21" s="81" t="s">
        <v>66</v>
      </c>
      <c r="U21" s="31" t="s">
        <v>67</v>
      </c>
      <c r="V21" s="31" t="s">
        <v>68</v>
      </c>
      <c r="W21" s="33" t="s">
        <v>69</v>
      </c>
      <c r="X21" s="33" t="s">
        <v>70</v>
      </c>
      <c r="Y21" s="32" t="s">
        <v>108</v>
      </c>
      <c r="Z21" s="15">
        <f>L21*H21^4</f>
        <v>61729.136883881758</v>
      </c>
      <c r="AA21" s="33" t="s">
        <v>72</v>
      </c>
      <c r="AB21" s="33" t="s">
        <v>63</v>
      </c>
      <c r="AC21" s="33" t="s">
        <v>64</v>
      </c>
      <c r="AD21" s="33" t="s">
        <v>65</v>
      </c>
      <c r="AE21" s="33" t="s">
        <v>66</v>
      </c>
      <c r="AF21" s="33" t="s">
        <v>67</v>
      </c>
      <c r="AG21" s="33" t="s">
        <v>68</v>
      </c>
      <c r="AH21" s="33" t="s">
        <v>69</v>
      </c>
      <c r="AI21" s="33" t="s">
        <v>70</v>
      </c>
      <c r="AJ21" s="15">
        <f>L21*H21^14</f>
        <v>78749.108958480516</v>
      </c>
      <c r="AK21" s="33" t="s">
        <v>72</v>
      </c>
      <c r="AL21" s="33" t="s">
        <v>63</v>
      </c>
      <c r="AM21" s="33" t="s">
        <v>64</v>
      </c>
      <c r="AN21" s="33" t="s">
        <v>65</v>
      </c>
      <c r="AO21" s="33" t="s">
        <v>66</v>
      </c>
      <c r="AP21" s="33" t="s">
        <v>67</v>
      </c>
      <c r="AQ21" s="33" t="s">
        <v>68</v>
      </c>
      <c r="AR21" s="33" t="s">
        <v>69</v>
      </c>
      <c r="AS21" s="33" t="s">
        <v>70</v>
      </c>
      <c r="AT21" s="15">
        <f>L21*H21^24</f>
        <v>100461.83171846528</v>
      </c>
      <c r="AU21" s="33" t="s">
        <v>72</v>
      </c>
      <c r="AV21" s="33" t="s">
        <v>63</v>
      </c>
      <c r="AW21" s="33" t="s">
        <v>64</v>
      </c>
      <c r="AX21" s="33" t="s">
        <v>65</v>
      </c>
      <c r="AY21" s="57" t="s">
        <v>66</v>
      </c>
      <c r="AZ21" s="57" t="s">
        <v>67</v>
      </c>
      <c r="BA21" s="57" t="s">
        <v>121</v>
      </c>
    </row>
    <row r="22" spans="1:53" ht="17.850000000000001" customHeight="1">
      <c r="A22" s="23"/>
      <c r="B22" s="6"/>
      <c r="C22" s="102"/>
      <c r="D22" s="102"/>
      <c r="E22" s="12"/>
      <c r="F22" s="102"/>
      <c r="G22" s="13"/>
      <c r="H22" s="103"/>
      <c r="I22" s="15"/>
      <c r="J22" s="15"/>
      <c r="K22" s="86"/>
      <c r="L22" s="104"/>
      <c r="M22" s="53"/>
      <c r="N22" s="18"/>
      <c r="O22" s="18"/>
      <c r="P22" s="18"/>
      <c r="Q22" s="18"/>
      <c r="R22" s="18"/>
      <c r="S22" s="105"/>
      <c r="T22" s="81"/>
      <c r="U22" s="31"/>
      <c r="V22" s="81"/>
      <c r="W22" s="31"/>
      <c r="X22" s="81"/>
      <c r="Y22" s="31"/>
      <c r="Z22" s="81"/>
      <c r="AA22" s="31"/>
      <c r="AB22" s="81"/>
      <c r="AC22" s="81"/>
      <c r="AD22" s="31"/>
      <c r="AE22" s="81"/>
      <c r="AF22" s="31"/>
      <c r="AG22" s="81"/>
      <c r="AH22" s="31"/>
      <c r="AI22" s="81"/>
      <c r="AJ22" s="31"/>
      <c r="AK22" s="81"/>
      <c r="AL22" s="81"/>
      <c r="AM22" s="31"/>
      <c r="AN22" s="81"/>
      <c r="AO22" s="31"/>
      <c r="AP22" s="81"/>
      <c r="AQ22" s="31"/>
      <c r="AR22" s="81"/>
      <c r="AS22" s="31"/>
      <c r="AT22" s="81"/>
      <c r="AU22" s="81"/>
      <c r="AV22" s="31"/>
      <c r="AW22" s="81"/>
      <c r="AX22" s="31"/>
      <c r="AY22" s="81"/>
      <c r="AZ22" s="81"/>
      <c r="BA22" s="81"/>
    </row>
    <row r="23" spans="1:53" ht="31.5">
      <c r="A23" s="23" t="s">
        <v>122</v>
      </c>
      <c r="B23" s="6" t="s">
        <v>123</v>
      </c>
      <c r="C23" s="24" t="s">
        <v>124</v>
      </c>
      <c r="D23" s="25">
        <v>2022</v>
      </c>
      <c r="E23" s="12"/>
      <c r="F23" s="26">
        <v>10</v>
      </c>
      <c r="G23" s="42" t="s">
        <v>125</v>
      </c>
      <c r="H23" s="28">
        <f>H21</f>
        <v>1.0246500000000001</v>
      </c>
      <c r="I23" s="15">
        <v>55000</v>
      </c>
      <c r="J23" s="15"/>
      <c r="K23" s="86">
        <v>266</v>
      </c>
      <c r="L23" s="29">
        <v>31000</v>
      </c>
      <c r="M23" s="53">
        <v>20000</v>
      </c>
      <c r="N23" s="18" t="s">
        <v>64</v>
      </c>
      <c r="O23" s="18" t="s">
        <v>65</v>
      </c>
      <c r="P23" s="18" t="s">
        <v>66</v>
      </c>
      <c r="Q23" s="18" t="s">
        <v>67</v>
      </c>
      <c r="R23" s="18" t="s">
        <v>68</v>
      </c>
      <c r="S23" s="30">
        <v>2023</v>
      </c>
      <c r="T23" s="81" t="s">
        <v>69</v>
      </c>
      <c r="U23" s="31" t="s">
        <v>70</v>
      </c>
      <c r="V23" s="94">
        <v>23580.2</v>
      </c>
      <c r="W23" s="33" t="s">
        <v>72</v>
      </c>
      <c r="X23" s="33" t="s">
        <v>63</v>
      </c>
      <c r="Y23" s="33" t="s">
        <v>64</v>
      </c>
      <c r="Z23" s="33" t="s">
        <v>65</v>
      </c>
      <c r="AA23" s="33" t="s">
        <v>66</v>
      </c>
      <c r="AB23" s="33" t="s">
        <v>67</v>
      </c>
      <c r="AC23" s="33" t="s">
        <v>68</v>
      </c>
      <c r="AD23" s="33" t="s">
        <v>69</v>
      </c>
      <c r="AE23" s="96" t="s">
        <v>70</v>
      </c>
      <c r="AF23" s="15">
        <f>L23*H23^10</f>
        <v>39547.327258196761</v>
      </c>
      <c r="AG23" s="33" t="s">
        <v>72</v>
      </c>
      <c r="AH23" s="33" t="s">
        <v>63</v>
      </c>
      <c r="AI23" s="33" t="s">
        <v>64</v>
      </c>
      <c r="AJ23" s="33" t="s">
        <v>65</v>
      </c>
      <c r="AK23" s="33" t="s">
        <v>66</v>
      </c>
      <c r="AL23" s="33" t="s">
        <v>67</v>
      </c>
      <c r="AM23" s="33" t="s">
        <v>68</v>
      </c>
      <c r="AN23" s="33" t="s">
        <v>69</v>
      </c>
      <c r="AO23" s="33" t="s">
        <v>70</v>
      </c>
      <c r="AP23" s="15">
        <f>L23*1.025^20</f>
        <v>50797.109649002261</v>
      </c>
      <c r="AQ23" s="33" t="s">
        <v>72</v>
      </c>
      <c r="AR23" s="33" t="s">
        <v>63</v>
      </c>
      <c r="AS23" s="33" t="s">
        <v>64</v>
      </c>
      <c r="AT23" s="33" t="s">
        <v>65</v>
      </c>
      <c r="AU23" s="33" t="s">
        <v>66</v>
      </c>
      <c r="AV23" s="33" t="s">
        <v>67</v>
      </c>
      <c r="AW23" s="33" t="s">
        <v>68</v>
      </c>
      <c r="AX23" s="33" t="s">
        <v>69</v>
      </c>
      <c r="AY23" s="96" t="s">
        <v>70</v>
      </c>
      <c r="AZ23" s="15">
        <f>L23*H23^30</f>
        <v>64361.776893164963</v>
      </c>
      <c r="BA23" s="33" t="s">
        <v>72</v>
      </c>
    </row>
    <row r="24" spans="1:53" ht="17.850000000000001" customHeight="1">
      <c r="A24" s="46"/>
      <c r="B24" s="47"/>
      <c r="C24" s="106"/>
      <c r="D24" s="106"/>
      <c r="E24" s="12"/>
      <c r="F24" s="107"/>
      <c r="G24" s="108"/>
      <c r="H24" s="109"/>
      <c r="I24" s="54">
        <v>43000</v>
      </c>
      <c r="J24" s="54"/>
      <c r="K24" s="110" t="s">
        <v>126</v>
      </c>
      <c r="L24" s="104"/>
      <c r="M24" s="111"/>
      <c r="N24" s="111"/>
      <c r="O24" s="111"/>
      <c r="P24" s="111"/>
      <c r="Q24" s="54"/>
      <c r="R24" s="54"/>
      <c r="S24" s="105"/>
      <c r="T24" s="54"/>
      <c r="U24" s="45"/>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row>
    <row r="25" spans="1:53" ht="17.850000000000001" hidden="1" customHeight="1">
      <c r="A25" s="23" t="s">
        <v>127</v>
      </c>
      <c r="B25" s="112">
        <v>41702</v>
      </c>
      <c r="C25" s="24" t="s">
        <v>128</v>
      </c>
      <c r="D25" s="25">
        <v>2008</v>
      </c>
      <c r="E25" s="12"/>
      <c r="F25" s="26">
        <v>10</v>
      </c>
      <c r="G25" s="27">
        <v>10</v>
      </c>
      <c r="H25" s="28">
        <f>H23</f>
        <v>1.0246500000000001</v>
      </c>
      <c r="I25" s="15">
        <v>30000</v>
      </c>
      <c r="J25" s="15"/>
      <c r="K25" s="86">
        <v>1202</v>
      </c>
      <c r="L25" s="29">
        <f>SUM(I25-H25)</f>
        <v>29998.975350000001</v>
      </c>
      <c r="M25" s="18" t="s">
        <v>67</v>
      </c>
      <c r="N25" s="18" t="s">
        <v>68</v>
      </c>
      <c r="O25" s="18" t="s">
        <v>69</v>
      </c>
      <c r="P25" s="18" t="s">
        <v>70</v>
      </c>
      <c r="Q25" s="32" t="s">
        <v>71</v>
      </c>
      <c r="R25" s="18" t="s">
        <v>129</v>
      </c>
      <c r="S25" s="30">
        <v>2023</v>
      </c>
      <c r="T25" s="81" t="s">
        <v>72</v>
      </c>
      <c r="U25" s="31" t="s">
        <v>63</v>
      </c>
      <c r="V25" s="31" t="s">
        <v>64</v>
      </c>
      <c r="W25" s="33" t="s">
        <v>65</v>
      </c>
      <c r="X25" s="33" t="s">
        <v>66</v>
      </c>
      <c r="Y25" s="33" t="s">
        <v>67</v>
      </c>
      <c r="Z25" s="33" t="s">
        <v>68</v>
      </c>
      <c r="AA25" s="33" t="s">
        <v>69</v>
      </c>
      <c r="AB25" s="33" t="s">
        <v>70</v>
      </c>
      <c r="AC25" s="81" t="s">
        <v>129</v>
      </c>
      <c r="AD25" s="33" t="s">
        <v>72</v>
      </c>
      <c r="AE25" s="33" t="s">
        <v>63</v>
      </c>
      <c r="AF25" s="33" t="s">
        <v>64</v>
      </c>
      <c r="AG25" s="33" t="s">
        <v>65</v>
      </c>
      <c r="AH25" s="33" t="s">
        <v>66</v>
      </c>
      <c r="AI25" s="33" t="s">
        <v>67</v>
      </c>
      <c r="AJ25" s="33" t="s">
        <v>68</v>
      </c>
      <c r="AK25" s="33" t="s">
        <v>69</v>
      </c>
      <c r="AL25" s="33" t="s">
        <v>70</v>
      </c>
      <c r="AM25" s="81" t="s">
        <v>129</v>
      </c>
      <c r="AN25" s="33" t="s">
        <v>72</v>
      </c>
      <c r="AO25" s="33" t="s">
        <v>63</v>
      </c>
      <c r="AP25" s="33" t="s">
        <v>64</v>
      </c>
      <c r="AQ25" s="33" t="s">
        <v>65</v>
      </c>
      <c r="AR25" s="33" t="s">
        <v>66</v>
      </c>
      <c r="AS25" s="33" t="s">
        <v>67</v>
      </c>
      <c r="AT25" s="33" t="s">
        <v>68</v>
      </c>
      <c r="AU25" s="33" t="s">
        <v>69</v>
      </c>
      <c r="AV25" s="33" t="s">
        <v>70</v>
      </c>
      <c r="AW25" s="81" t="s">
        <v>129</v>
      </c>
      <c r="AX25" s="33" t="s">
        <v>72</v>
      </c>
      <c r="AY25" s="33" t="s">
        <v>63</v>
      </c>
      <c r="AZ25" s="33" t="s">
        <v>64</v>
      </c>
      <c r="BA25" s="33"/>
    </row>
    <row r="26" spans="1:53" ht="17.850000000000001" customHeight="1">
      <c r="A26" s="113" t="s">
        <v>130</v>
      </c>
      <c r="B26" s="114" t="s">
        <v>131</v>
      </c>
      <c r="C26" s="115" t="s">
        <v>62</v>
      </c>
      <c r="D26" s="25">
        <v>2017</v>
      </c>
      <c r="E26" s="12"/>
      <c r="F26" s="26">
        <v>10</v>
      </c>
      <c r="G26" s="27">
        <v>4</v>
      </c>
      <c r="H26" s="28">
        <f>H25</f>
        <v>1.0246500000000001</v>
      </c>
      <c r="I26" s="15"/>
      <c r="J26" s="15"/>
      <c r="K26" s="86"/>
      <c r="L26" s="71">
        <v>113000</v>
      </c>
      <c r="M26" s="18" t="s">
        <v>71</v>
      </c>
      <c r="N26" s="18" t="s">
        <v>77</v>
      </c>
      <c r="O26" s="15">
        <v>35200</v>
      </c>
      <c r="P26" s="18" t="s">
        <v>72</v>
      </c>
      <c r="Q26" s="18" t="s">
        <v>63</v>
      </c>
      <c r="R26" s="18" t="s">
        <v>64</v>
      </c>
      <c r="S26" s="30">
        <v>2023</v>
      </c>
      <c r="T26" s="81" t="s">
        <v>65</v>
      </c>
      <c r="U26" s="31" t="s">
        <v>66</v>
      </c>
      <c r="V26" s="31" t="s">
        <v>67</v>
      </c>
      <c r="W26" s="33" t="s">
        <v>68</v>
      </c>
      <c r="X26" s="33" t="s">
        <v>69</v>
      </c>
      <c r="Y26" s="33" t="s">
        <v>70</v>
      </c>
      <c r="Z26" s="15">
        <f>L26*H26^4</f>
        <v>124560.57978354713</v>
      </c>
      <c r="AA26" s="33" t="s">
        <v>72</v>
      </c>
      <c r="AB26" s="33" t="s">
        <v>63</v>
      </c>
      <c r="AC26" s="33" t="s">
        <v>64</v>
      </c>
      <c r="AD26" s="33" t="s">
        <v>65</v>
      </c>
      <c r="AE26" s="33" t="s">
        <v>66</v>
      </c>
      <c r="AF26" s="33" t="s">
        <v>67</v>
      </c>
      <c r="AG26" s="33" t="s">
        <v>68</v>
      </c>
      <c r="AH26" s="33" t="s">
        <v>69</v>
      </c>
      <c r="AI26" s="33" t="s">
        <v>70</v>
      </c>
      <c r="AJ26" s="15">
        <f>L26*H26^14</f>
        <v>158904.45200550533</v>
      </c>
      <c r="AK26" s="33" t="s">
        <v>72</v>
      </c>
      <c r="AL26" s="33" t="s">
        <v>63</v>
      </c>
      <c r="AM26" s="33" t="s">
        <v>64</v>
      </c>
      <c r="AN26" s="33" t="s">
        <v>65</v>
      </c>
      <c r="AO26" s="33" t="s">
        <v>66</v>
      </c>
      <c r="AP26" s="33" t="s">
        <v>67</v>
      </c>
      <c r="AQ26" s="33" t="s">
        <v>68</v>
      </c>
      <c r="AR26" s="33" t="s">
        <v>69</v>
      </c>
      <c r="AS26" s="33" t="s">
        <v>70</v>
      </c>
      <c r="AT26" s="15">
        <f>L26*H26^25</f>
        <v>207714.61416690671</v>
      </c>
      <c r="AU26" s="33" t="s">
        <v>72</v>
      </c>
      <c r="AV26" s="33" t="s">
        <v>63</v>
      </c>
      <c r="AW26" s="33" t="s">
        <v>64</v>
      </c>
      <c r="AX26" s="33" t="s">
        <v>65</v>
      </c>
      <c r="AY26" s="33" t="s">
        <v>66</v>
      </c>
      <c r="AZ26" s="33" t="s">
        <v>67</v>
      </c>
      <c r="BA26" s="33" t="s">
        <v>68</v>
      </c>
    </row>
    <row r="27" spans="1:53" ht="17.850000000000001" hidden="1" customHeight="1">
      <c r="A27" s="46"/>
      <c r="B27" s="47"/>
      <c r="C27" s="106"/>
      <c r="D27" s="106"/>
      <c r="E27" s="12"/>
      <c r="F27" s="106"/>
      <c r="G27" s="50"/>
      <c r="H27" s="103"/>
      <c r="I27" s="54">
        <v>300000</v>
      </c>
      <c r="J27" s="116"/>
      <c r="K27" s="116">
        <v>7809</v>
      </c>
      <c r="L27" s="104"/>
      <c r="M27" s="117"/>
      <c r="N27" s="117"/>
      <c r="O27" s="54"/>
      <c r="P27" s="111"/>
      <c r="Q27" s="54"/>
      <c r="R27" s="54"/>
      <c r="S27" s="10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row>
    <row r="28" spans="1:53" ht="17.850000000000001" customHeight="1">
      <c r="A28" s="23" t="s">
        <v>132</v>
      </c>
      <c r="B28" s="6" t="s">
        <v>133</v>
      </c>
      <c r="C28" s="24" t="s">
        <v>134</v>
      </c>
      <c r="D28" s="25">
        <v>2011</v>
      </c>
      <c r="E28" s="12"/>
      <c r="F28" s="26">
        <v>10</v>
      </c>
      <c r="G28" s="27">
        <v>10</v>
      </c>
      <c r="H28" s="28">
        <f>H26</f>
        <v>1.0246500000000001</v>
      </c>
      <c r="I28" s="54">
        <v>90000</v>
      </c>
      <c r="J28" s="116"/>
      <c r="K28" s="116">
        <v>128</v>
      </c>
      <c r="L28" s="29">
        <v>93508.2</v>
      </c>
      <c r="M28" s="18" t="s">
        <v>64</v>
      </c>
      <c r="N28" s="18" t="s">
        <v>65</v>
      </c>
      <c r="O28" s="18" t="s">
        <v>66</v>
      </c>
      <c r="P28" s="18" t="s">
        <v>67</v>
      </c>
      <c r="Q28" s="18" t="s">
        <v>68</v>
      </c>
      <c r="R28" s="18" t="s">
        <v>69</v>
      </c>
      <c r="S28" s="30">
        <v>2023</v>
      </c>
      <c r="T28" s="81" t="s">
        <v>70</v>
      </c>
      <c r="U28" s="81" t="s">
        <v>71</v>
      </c>
      <c r="V28" s="81"/>
      <c r="W28" s="15">
        <v>93508.2</v>
      </c>
      <c r="X28" s="33" t="s">
        <v>72</v>
      </c>
      <c r="Y28" s="33" t="s">
        <v>63</v>
      </c>
      <c r="Z28" s="33" t="s">
        <v>64</v>
      </c>
      <c r="AA28" s="33" t="s">
        <v>65</v>
      </c>
      <c r="AB28" s="33" t="s">
        <v>66</v>
      </c>
      <c r="AC28" s="33" t="s">
        <v>67</v>
      </c>
      <c r="AD28" s="33" t="s">
        <v>68</v>
      </c>
      <c r="AE28" s="33" t="s">
        <v>69</v>
      </c>
      <c r="AF28" s="33" t="s">
        <v>70</v>
      </c>
      <c r="AG28" s="15">
        <f>L28*H28^10</f>
        <v>119290.30279757788</v>
      </c>
      <c r="AH28" s="33" t="s">
        <v>72</v>
      </c>
      <c r="AI28" s="33" t="s">
        <v>63</v>
      </c>
      <c r="AJ28" s="33" t="s">
        <v>64</v>
      </c>
      <c r="AK28" s="33" t="s">
        <v>65</v>
      </c>
      <c r="AL28" s="33" t="s">
        <v>66</v>
      </c>
      <c r="AM28" s="33" t="s">
        <v>67</v>
      </c>
      <c r="AN28" s="33" t="s">
        <v>68</v>
      </c>
      <c r="AO28" s="33" t="s">
        <v>69</v>
      </c>
      <c r="AP28" s="33" t="s">
        <v>70</v>
      </c>
      <c r="AQ28" s="15">
        <f>L28*H28^20</f>
        <v>152181.05301500639</v>
      </c>
      <c r="AR28" s="33" t="s">
        <v>72</v>
      </c>
      <c r="AS28" s="33" t="s">
        <v>63</v>
      </c>
      <c r="AT28" s="33" t="s">
        <v>64</v>
      </c>
      <c r="AU28" s="33" t="s">
        <v>65</v>
      </c>
      <c r="AV28" s="33" t="s">
        <v>66</v>
      </c>
      <c r="AW28" s="33" t="s">
        <v>67</v>
      </c>
      <c r="AX28" s="33" t="s">
        <v>68</v>
      </c>
      <c r="AY28" s="33" t="s">
        <v>69</v>
      </c>
      <c r="AZ28" s="33" t="s">
        <v>70</v>
      </c>
      <c r="BA28" s="34">
        <f>L28*H28^30</f>
        <v>194140.44858327252</v>
      </c>
    </row>
    <row r="29" spans="1:53" ht="17.850000000000001" customHeight="1">
      <c r="A29" s="23" t="s">
        <v>135</v>
      </c>
      <c r="B29" s="6" t="s">
        <v>133</v>
      </c>
      <c r="C29" s="24" t="s">
        <v>62</v>
      </c>
      <c r="D29" s="25">
        <v>2020</v>
      </c>
      <c r="E29" s="12"/>
      <c r="F29" s="26">
        <v>10</v>
      </c>
      <c r="G29" s="27">
        <v>1</v>
      </c>
      <c r="H29" s="28">
        <f>H28</f>
        <v>1.0246500000000001</v>
      </c>
      <c r="I29" s="15"/>
      <c r="J29" s="118"/>
      <c r="K29" s="118">
        <v>1411</v>
      </c>
      <c r="L29" s="71">
        <v>106835</v>
      </c>
      <c r="M29" s="18" t="s">
        <v>69</v>
      </c>
      <c r="N29" s="18" t="s">
        <v>70</v>
      </c>
      <c r="O29" s="32" t="s">
        <v>71</v>
      </c>
      <c r="P29" s="119" t="s">
        <v>77</v>
      </c>
      <c r="Q29" s="37" t="s">
        <v>79</v>
      </c>
      <c r="R29" s="37" t="s">
        <v>80</v>
      </c>
      <c r="S29" s="30">
        <v>2023</v>
      </c>
      <c r="T29" s="54">
        <v>106835</v>
      </c>
      <c r="U29" s="31" t="s">
        <v>72</v>
      </c>
      <c r="V29" s="31" t="s">
        <v>63</v>
      </c>
      <c r="W29" s="33" t="s">
        <v>64</v>
      </c>
      <c r="X29" s="33" t="s">
        <v>65</v>
      </c>
      <c r="Y29" s="33" t="s">
        <v>66</v>
      </c>
      <c r="Z29" s="33" t="s">
        <v>67</v>
      </c>
      <c r="AA29" s="33" t="s">
        <v>68</v>
      </c>
      <c r="AB29" s="33" t="s">
        <v>69</v>
      </c>
      <c r="AC29" s="33" t="s">
        <v>70</v>
      </c>
      <c r="AD29" s="15">
        <f>L29*H29^8</f>
        <v>129812.9171491497</v>
      </c>
      <c r="AE29" s="33" t="s">
        <v>72</v>
      </c>
      <c r="AF29" s="33" t="s">
        <v>136</v>
      </c>
      <c r="AG29" s="33" t="s">
        <v>64</v>
      </c>
      <c r="AH29" s="33" t="s">
        <v>65</v>
      </c>
      <c r="AI29" s="33" t="s">
        <v>66</v>
      </c>
      <c r="AJ29" s="33" t="s">
        <v>67</v>
      </c>
      <c r="AK29" s="33" t="s">
        <v>68</v>
      </c>
      <c r="AL29" s="33" t="s">
        <v>69</v>
      </c>
      <c r="AM29" s="33" t="s">
        <v>70</v>
      </c>
      <c r="AN29" s="15">
        <f>L29*H29^18</f>
        <v>165604.96505930988</v>
      </c>
      <c r="AO29" s="33" t="s">
        <v>72</v>
      </c>
      <c r="AP29" s="33" t="s">
        <v>63</v>
      </c>
      <c r="AQ29" s="33" t="s">
        <v>64</v>
      </c>
      <c r="AR29" s="33" t="s">
        <v>65</v>
      </c>
      <c r="AS29" s="33" t="s">
        <v>66</v>
      </c>
      <c r="AT29" s="33" t="s">
        <v>67</v>
      </c>
      <c r="AU29" s="33" t="s">
        <v>68</v>
      </c>
      <c r="AV29" s="33" t="s">
        <v>69</v>
      </c>
      <c r="AW29" s="33" t="s">
        <v>70</v>
      </c>
      <c r="AX29" s="15">
        <f>L29*H29^28</f>
        <v>211265.60479944412</v>
      </c>
      <c r="AY29" s="33" t="s">
        <v>72</v>
      </c>
      <c r="AZ29" s="33" t="s">
        <v>63</v>
      </c>
      <c r="BA29" s="33" t="s">
        <v>64</v>
      </c>
    </row>
    <row r="30" spans="1:53" ht="17.850000000000001" customHeight="1">
      <c r="A30" s="23" t="s">
        <v>137</v>
      </c>
      <c r="B30" s="6" t="s">
        <v>133</v>
      </c>
      <c r="C30" s="24" t="s">
        <v>134</v>
      </c>
      <c r="D30" s="25">
        <v>2016</v>
      </c>
      <c r="E30" s="12"/>
      <c r="F30" s="26">
        <v>10</v>
      </c>
      <c r="G30" s="27">
        <v>5</v>
      </c>
      <c r="H30" s="28">
        <f>H29</f>
        <v>1.0246500000000001</v>
      </c>
      <c r="I30" s="15"/>
      <c r="J30" s="118"/>
      <c r="K30" s="120" t="s">
        <v>138</v>
      </c>
      <c r="L30" s="29">
        <v>92768.45</v>
      </c>
      <c r="M30" s="121" t="s">
        <v>139</v>
      </c>
      <c r="N30" s="15">
        <v>70400</v>
      </c>
      <c r="O30" s="18" t="s">
        <v>72</v>
      </c>
      <c r="P30" s="18" t="s">
        <v>63</v>
      </c>
      <c r="Q30" s="18" t="s">
        <v>64</v>
      </c>
      <c r="R30" s="18" t="s">
        <v>65</v>
      </c>
      <c r="S30" s="30">
        <v>2023</v>
      </c>
      <c r="T30" s="81" t="s">
        <v>66</v>
      </c>
      <c r="U30" s="31" t="s">
        <v>66</v>
      </c>
      <c r="V30" s="31" t="s">
        <v>67</v>
      </c>
      <c r="W30" s="33" t="s">
        <v>68</v>
      </c>
      <c r="X30" s="33" t="s">
        <v>69</v>
      </c>
      <c r="Y30" s="33" t="s">
        <v>70</v>
      </c>
      <c r="Z30" s="32" t="s">
        <v>108</v>
      </c>
      <c r="AA30" s="15">
        <f>L30*H30^5</f>
        <v>104779.91029548993</v>
      </c>
      <c r="AB30" s="33" t="s">
        <v>72</v>
      </c>
      <c r="AC30" s="33" t="s">
        <v>136</v>
      </c>
      <c r="AD30" s="33" t="s">
        <v>64</v>
      </c>
      <c r="AE30" s="33" t="s">
        <v>65</v>
      </c>
      <c r="AF30" s="33" t="s">
        <v>66</v>
      </c>
      <c r="AG30" s="33" t="s">
        <v>67</v>
      </c>
      <c r="AH30" s="33" t="s">
        <v>68</v>
      </c>
      <c r="AI30" s="33" t="s">
        <v>69</v>
      </c>
      <c r="AJ30" s="33" t="s">
        <v>70</v>
      </c>
      <c r="AK30" s="15">
        <f>L30*(H30^15)</f>
        <v>133669.85169484644</v>
      </c>
      <c r="AL30" s="33" t="s">
        <v>72</v>
      </c>
      <c r="AM30" s="33" t="s">
        <v>63</v>
      </c>
      <c r="AN30" s="33" t="s">
        <v>64</v>
      </c>
      <c r="AO30" s="33" t="s">
        <v>65</v>
      </c>
      <c r="AP30" s="33" t="s">
        <v>66</v>
      </c>
      <c r="AQ30" s="33" t="s">
        <v>67</v>
      </c>
      <c r="AR30" s="33" t="s">
        <v>68</v>
      </c>
      <c r="AS30" s="33" t="s">
        <v>69</v>
      </c>
      <c r="AT30" s="33" t="s">
        <v>70</v>
      </c>
      <c r="AU30" s="32" t="s">
        <v>108</v>
      </c>
      <c r="AV30" s="15">
        <f>L30*H30^25</f>
        <v>170525.33450099095</v>
      </c>
      <c r="AW30" s="33" t="s">
        <v>72</v>
      </c>
      <c r="AX30" s="33" t="s">
        <v>63</v>
      </c>
      <c r="AY30" s="33" t="s">
        <v>64</v>
      </c>
      <c r="AZ30" s="33" t="s">
        <v>65</v>
      </c>
      <c r="BA30" s="96" t="s">
        <v>66</v>
      </c>
    </row>
    <row r="31" spans="1:53" ht="17.850000000000001" customHeight="1">
      <c r="A31" s="23"/>
      <c r="B31" s="6"/>
      <c r="C31" s="102"/>
      <c r="D31" s="102"/>
      <c r="E31" s="12"/>
      <c r="F31" s="102"/>
      <c r="G31" s="13"/>
      <c r="H31" s="103"/>
      <c r="I31" s="15"/>
      <c r="J31" s="15"/>
      <c r="K31" s="16"/>
      <c r="L31" s="122"/>
      <c r="M31" s="123"/>
      <c r="N31" s="15"/>
      <c r="O31" s="15"/>
      <c r="P31" s="15"/>
      <c r="Q31" s="15"/>
      <c r="R31" s="15"/>
      <c r="S31" s="55"/>
      <c r="T31" s="45"/>
      <c r="U31" s="31"/>
      <c r="V31" s="31"/>
      <c r="W31" s="31"/>
      <c r="X31" s="31"/>
      <c r="Y31" s="45"/>
      <c r="Z31" s="31"/>
      <c r="AA31" s="31"/>
      <c r="AB31" s="31"/>
      <c r="AC31" s="31"/>
      <c r="AD31" s="31"/>
      <c r="AE31" s="31"/>
      <c r="AF31" s="31"/>
      <c r="AG31" s="45"/>
      <c r="AH31" s="31"/>
      <c r="AI31" s="31"/>
      <c r="AJ31" s="31"/>
      <c r="AK31" s="31"/>
      <c r="AL31" s="31"/>
      <c r="AM31" s="31"/>
      <c r="AN31" s="31"/>
      <c r="AO31" s="45"/>
      <c r="AP31" s="31"/>
      <c r="AQ31" s="31"/>
      <c r="AR31" s="31"/>
      <c r="AS31" s="31"/>
      <c r="AT31" s="31"/>
      <c r="AU31" s="31"/>
      <c r="AV31" s="31"/>
      <c r="AW31" s="45"/>
      <c r="AX31" s="31"/>
      <c r="AY31" s="31"/>
      <c r="AZ31" s="31"/>
      <c r="BA31" s="31"/>
    </row>
    <row r="32" spans="1:53" ht="17.850000000000001" customHeight="1">
      <c r="A32" s="23" t="s">
        <v>140</v>
      </c>
      <c r="B32" s="6" t="s">
        <v>141</v>
      </c>
      <c r="C32" s="24" t="s">
        <v>142</v>
      </c>
      <c r="D32" s="25">
        <v>2016</v>
      </c>
      <c r="E32" s="12"/>
      <c r="F32" s="26">
        <v>8</v>
      </c>
      <c r="G32" s="27">
        <v>5</v>
      </c>
      <c r="H32" s="28">
        <f>H30</f>
        <v>1.0246500000000001</v>
      </c>
      <c r="I32" s="15"/>
      <c r="J32" s="15"/>
      <c r="K32" s="16">
        <v>109</v>
      </c>
      <c r="L32" s="71">
        <v>12000</v>
      </c>
      <c r="M32" s="123"/>
      <c r="N32" s="15"/>
      <c r="O32" s="15"/>
      <c r="P32" s="15"/>
      <c r="Q32" s="15"/>
      <c r="R32" s="15"/>
      <c r="S32" s="30">
        <v>2023</v>
      </c>
      <c r="T32" s="45"/>
      <c r="U32" s="31" t="s">
        <v>66</v>
      </c>
      <c r="V32" s="31" t="s">
        <v>67</v>
      </c>
      <c r="W32" s="33" t="s">
        <v>68</v>
      </c>
      <c r="X32" s="33" t="s">
        <v>74</v>
      </c>
      <c r="Y32" s="15">
        <f>L32*H32^3</f>
        <v>12909.454144735502</v>
      </c>
      <c r="Z32" s="33" t="s">
        <v>72</v>
      </c>
      <c r="AA32" s="33" t="s">
        <v>63</v>
      </c>
      <c r="AB32" s="33" t="s">
        <v>64</v>
      </c>
      <c r="AC32" s="33" t="s">
        <v>65</v>
      </c>
      <c r="AD32" s="33" t="s">
        <v>66</v>
      </c>
      <c r="AE32" s="33" t="s">
        <v>67</v>
      </c>
      <c r="AF32" s="33" t="s">
        <v>68</v>
      </c>
      <c r="AG32" s="15">
        <f>L32*H32^11</f>
        <v>15686.000854881799</v>
      </c>
      <c r="AH32" s="33" t="s">
        <v>72</v>
      </c>
      <c r="AI32" s="33" t="s">
        <v>63</v>
      </c>
      <c r="AJ32" s="33" t="s">
        <v>64</v>
      </c>
      <c r="AK32" s="33" t="s">
        <v>65</v>
      </c>
      <c r="AL32" s="33" t="s">
        <v>66</v>
      </c>
      <c r="AM32" s="33" t="s">
        <v>67</v>
      </c>
      <c r="AN32" s="33" t="s">
        <v>68</v>
      </c>
      <c r="AO32" s="15">
        <f>L32*H32^19</f>
        <v>19059.723212208195</v>
      </c>
      <c r="AP32" s="33" t="s">
        <v>72</v>
      </c>
      <c r="AQ32" s="33" t="s">
        <v>63</v>
      </c>
      <c r="AR32" s="33" t="s">
        <v>64</v>
      </c>
      <c r="AS32" s="33" t="s">
        <v>65</v>
      </c>
      <c r="AT32" s="33" t="s">
        <v>66</v>
      </c>
      <c r="AU32" s="33" t="s">
        <v>67</v>
      </c>
      <c r="AV32" s="33" t="s">
        <v>68</v>
      </c>
      <c r="AW32" s="15">
        <f>L32*H32^27</f>
        <v>23159.060890458255</v>
      </c>
      <c r="AX32" s="33" t="s">
        <v>72</v>
      </c>
      <c r="AY32" s="33" t="s">
        <v>63</v>
      </c>
      <c r="AZ32" s="33" t="s">
        <v>64</v>
      </c>
      <c r="BA32" s="33" t="s">
        <v>65</v>
      </c>
    </row>
    <row r="33" spans="1:53" ht="17.850000000000001" customHeight="1">
      <c r="A33" s="23" t="s">
        <v>143</v>
      </c>
      <c r="B33" s="6" t="s">
        <v>144</v>
      </c>
      <c r="C33" s="24" t="s">
        <v>145</v>
      </c>
      <c r="D33" s="25">
        <v>2020</v>
      </c>
      <c r="E33" s="12"/>
      <c r="F33" s="26">
        <v>8</v>
      </c>
      <c r="G33" s="27">
        <v>1</v>
      </c>
      <c r="H33" s="28">
        <f>H32</f>
        <v>1.0246500000000001</v>
      </c>
      <c r="I33" s="15"/>
      <c r="J33" s="15"/>
      <c r="K33" s="16">
        <v>1961</v>
      </c>
      <c r="L33" s="71">
        <v>12000</v>
      </c>
      <c r="M33" s="123"/>
      <c r="N33" s="15"/>
      <c r="O33" s="15"/>
      <c r="P33" s="15"/>
      <c r="Q33" s="15"/>
      <c r="R33" s="15"/>
      <c r="S33" s="30">
        <v>2023</v>
      </c>
      <c r="T33" s="45"/>
      <c r="U33" s="31" t="s">
        <v>72</v>
      </c>
      <c r="V33" s="31" t="s">
        <v>63</v>
      </c>
      <c r="W33" s="33" t="s">
        <v>64</v>
      </c>
      <c r="X33" s="33" t="s">
        <v>65</v>
      </c>
      <c r="Y33" s="33" t="s">
        <v>66</v>
      </c>
      <c r="Z33" s="33" t="s">
        <v>67</v>
      </c>
      <c r="AA33" s="33" t="s">
        <v>68</v>
      </c>
      <c r="AB33" s="15">
        <f>L33*H33^6</f>
        <v>13887.83385958572</v>
      </c>
      <c r="AC33" s="33" t="s">
        <v>72</v>
      </c>
      <c r="AD33" s="33" t="s">
        <v>63</v>
      </c>
      <c r="AE33" s="33" t="s">
        <v>64</v>
      </c>
      <c r="AF33" s="33" t="s">
        <v>65</v>
      </c>
      <c r="AG33" s="33" t="s">
        <v>66</v>
      </c>
      <c r="AH33" s="33" t="s">
        <v>67</v>
      </c>
      <c r="AI33" s="33" t="s">
        <v>68</v>
      </c>
      <c r="AJ33" s="15">
        <f>L33*H33^14</f>
        <v>16874.809062531538</v>
      </c>
      <c r="AK33" s="33" t="s">
        <v>72</v>
      </c>
      <c r="AL33" s="33" t="s">
        <v>63</v>
      </c>
      <c r="AM33" s="33" t="s">
        <v>64</v>
      </c>
      <c r="AN33" s="33" t="s">
        <v>65</v>
      </c>
      <c r="AO33" s="33" t="s">
        <v>66</v>
      </c>
      <c r="AP33" s="33" t="s">
        <v>67</v>
      </c>
      <c r="AQ33" s="33" t="s">
        <v>68</v>
      </c>
      <c r="AR33" s="15">
        <f>L33*H33^22</f>
        <v>20504.218568279375</v>
      </c>
      <c r="AS33" s="33" t="s">
        <v>72</v>
      </c>
      <c r="AT33" s="33" t="s">
        <v>63</v>
      </c>
      <c r="AU33" s="33" t="s">
        <v>64</v>
      </c>
      <c r="AV33" s="33" t="s">
        <v>65</v>
      </c>
      <c r="AW33" s="33" t="s">
        <v>66</v>
      </c>
      <c r="AX33" s="33" t="s">
        <v>67</v>
      </c>
      <c r="AY33" s="33" t="s">
        <v>68</v>
      </c>
      <c r="AZ33" s="15">
        <f>L33*H33^30</f>
        <v>24914.236216709018</v>
      </c>
      <c r="BA33" s="33" t="s">
        <v>72</v>
      </c>
    </row>
    <row r="34" spans="1:53" ht="17.850000000000001" customHeight="1">
      <c r="A34" s="23" t="s">
        <v>146</v>
      </c>
      <c r="B34" s="6" t="s">
        <v>147</v>
      </c>
      <c r="C34" s="24" t="s">
        <v>148</v>
      </c>
      <c r="D34" s="124">
        <v>2010</v>
      </c>
      <c r="E34" s="12"/>
      <c r="F34" s="26">
        <v>8</v>
      </c>
      <c r="G34" s="27">
        <v>11</v>
      </c>
      <c r="H34" s="28">
        <f>H33</f>
        <v>1.0246500000000001</v>
      </c>
      <c r="I34" s="15"/>
      <c r="J34" s="15"/>
      <c r="K34" s="16">
        <v>2595</v>
      </c>
      <c r="L34" s="71">
        <v>12000</v>
      </c>
      <c r="M34" s="123"/>
      <c r="N34" s="15"/>
      <c r="O34" s="15"/>
      <c r="P34" s="15"/>
      <c r="Q34" s="15"/>
      <c r="R34" s="15"/>
      <c r="S34" s="30">
        <v>2023</v>
      </c>
      <c r="T34" s="45"/>
      <c r="U34" s="81" t="s">
        <v>77</v>
      </c>
      <c r="V34" s="36" t="s">
        <v>149</v>
      </c>
      <c r="W34" s="125" t="s">
        <v>150</v>
      </c>
      <c r="X34" s="33" t="s">
        <v>72</v>
      </c>
      <c r="Y34" s="33" t="s">
        <v>63</v>
      </c>
      <c r="Z34" s="33" t="s">
        <v>64</v>
      </c>
      <c r="AA34" s="33" t="s">
        <v>65</v>
      </c>
      <c r="AB34" s="33" t="s">
        <v>66</v>
      </c>
      <c r="AC34" s="33" t="s">
        <v>67</v>
      </c>
      <c r="AD34" s="33" t="s">
        <v>68</v>
      </c>
      <c r="AE34" s="125" t="s">
        <v>150</v>
      </c>
      <c r="AF34" s="33" t="s">
        <v>72</v>
      </c>
      <c r="AG34" s="33" t="s">
        <v>63</v>
      </c>
      <c r="AH34" s="33" t="s">
        <v>64</v>
      </c>
      <c r="AI34" s="33" t="s">
        <v>65</v>
      </c>
      <c r="AJ34" s="33" t="s">
        <v>66</v>
      </c>
      <c r="AK34" s="33" t="s">
        <v>67</v>
      </c>
      <c r="AL34" s="33" t="s">
        <v>68</v>
      </c>
      <c r="AM34" s="125" t="s">
        <v>150</v>
      </c>
      <c r="AN34" s="33" t="s">
        <v>72</v>
      </c>
      <c r="AO34" s="33" t="s">
        <v>63</v>
      </c>
      <c r="AP34" s="33" t="s">
        <v>64</v>
      </c>
      <c r="AQ34" s="33" t="s">
        <v>65</v>
      </c>
      <c r="AR34" s="33" t="s">
        <v>66</v>
      </c>
      <c r="AS34" s="33" t="s">
        <v>67</v>
      </c>
      <c r="AT34" s="33" t="s">
        <v>68</v>
      </c>
      <c r="AU34" s="125" t="s">
        <v>150</v>
      </c>
      <c r="AV34" s="33" t="s">
        <v>72</v>
      </c>
      <c r="AW34" s="33" t="s">
        <v>63</v>
      </c>
      <c r="AX34" s="33" t="s">
        <v>64</v>
      </c>
      <c r="AY34" s="33" t="s">
        <v>65</v>
      </c>
      <c r="AZ34" s="33" t="s">
        <v>66</v>
      </c>
      <c r="BA34" s="33" t="s">
        <v>67</v>
      </c>
    </row>
    <row r="35" spans="1:53" ht="17.850000000000001" customHeight="1">
      <c r="A35" s="126"/>
      <c r="B35" s="127"/>
      <c r="C35" s="128"/>
      <c r="D35" s="128"/>
      <c r="E35" s="12"/>
      <c r="F35" s="107"/>
      <c r="G35" s="129"/>
      <c r="H35" s="109"/>
      <c r="I35" s="54"/>
      <c r="J35" s="54"/>
      <c r="K35" s="130"/>
      <c r="L35" s="122"/>
      <c r="M35" s="54"/>
      <c r="N35" s="54"/>
      <c r="O35" s="54"/>
      <c r="P35" s="54"/>
      <c r="Q35" s="54"/>
      <c r="R35" s="54"/>
      <c r="S35" s="105"/>
      <c r="T35" s="54"/>
      <c r="U35" s="54"/>
      <c r="V35" s="54"/>
      <c r="W35" s="54"/>
      <c r="X35" s="54"/>
      <c r="Y35" s="54"/>
      <c r="Z35" s="54"/>
      <c r="AA35" s="54"/>
      <c r="AB35" s="54"/>
      <c r="AC35" s="54"/>
      <c r="AD35" s="54"/>
      <c r="AE35" s="131"/>
      <c r="AF35" s="54"/>
      <c r="AG35" s="54"/>
      <c r="AH35" s="54"/>
      <c r="AI35" s="54"/>
      <c r="AJ35" s="54"/>
      <c r="AK35" s="54"/>
      <c r="AL35" s="54"/>
      <c r="AM35" s="54"/>
      <c r="AN35" s="54"/>
      <c r="AO35" s="54"/>
      <c r="AP35" s="54"/>
      <c r="AQ35" s="54"/>
      <c r="AR35" s="54"/>
      <c r="AS35" s="54"/>
      <c r="AT35" s="54"/>
      <c r="AU35" s="54"/>
      <c r="AV35" s="54"/>
      <c r="AW35" s="54"/>
      <c r="AX35" s="54"/>
      <c r="AY35" s="54"/>
      <c r="AZ35" s="54"/>
      <c r="BA35" s="54"/>
    </row>
    <row r="36" spans="1:53" ht="17.850000000000001" customHeight="1">
      <c r="A36" s="23" t="s">
        <v>151</v>
      </c>
      <c r="B36" s="6" t="s">
        <v>152</v>
      </c>
      <c r="C36" s="24" t="s">
        <v>153</v>
      </c>
      <c r="D36" s="25">
        <v>2016</v>
      </c>
      <c r="E36" s="12"/>
      <c r="F36" s="26">
        <v>15</v>
      </c>
      <c r="G36" s="27">
        <v>5</v>
      </c>
      <c r="H36" s="28">
        <f>H34</f>
        <v>1.0246500000000001</v>
      </c>
      <c r="I36" s="15"/>
      <c r="J36" s="15"/>
      <c r="K36" s="16"/>
      <c r="L36" s="71">
        <v>120000</v>
      </c>
      <c r="M36" s="15"/>
      <c r="N36" s="15"/>
      <c r="O36" s="15"/>
      <c r="P36" s="15"/>
      <c r="Q36" s="15"/>
      <c r="R36" s="15"/>
      <c r="S36" s="30">
        <v>2023</v>
      </c>
      <c r="T36" s="31" t="s">
        <v>154</v>
      </c>
      <c r="U36" s="95" t="s">
        <v>66</v>
      </c>
      <c r="V36" s="31" t="s">
        <v>67</v>
      </c>
      <c r="W36" s="33" t="s">
        <v>68</v>
      </c>
      <c r="X36" s="33" t="s">
        <v>69</v>
      </c>
      <c r="Y36" s="33" t="s">
        <v>70</v>
      </c>
      <c r="Z36" s="33" t="s">
        <v>71</v>
      </c>
      <c r="AA36" s="33" t="s">
        <v>77</v>
      </c>
      <c r="AB36" s="33" t="s">
        <v>88</v>
      </c>
      <c r="AC36" s="33" t="s">
        <v>93</v>
      </c>
      <c r="AD36" s="132" t="s">
        <v>94</v>
      </c>
      <c r="AE36" s="82">
        <f>L36*H36^9</f>
        <v>149403.62865002247</v>
      </c>
      <c r="AF36" s="77" t="s">
        <v>72</v>
      </c>
      <c r="AG36" s="33" t="s">
        <v>63</v>
      </c>
      <c r="AH36" s="33" t="s">
        <v>64</v>
      </c>
      <c r="AI36" s="33" t="s">
        <v>65</v>
      </c>
      <c r="AJ36" s="33" t="s">
        <v>66</v>
      </c>
      <c r="AK36" s="33" t="s">
        <v>67</v>
      </c>
      <c r="AL36" s="33" t="s">
        <v>68</v>
      </c>
      <c r="AM36" s="33" t="s">
        <v>69</v>
      </c>
      <c r="AN36" s="33" t="s">
        <v>70</v>
      </c>
      <c r="AO36" s="33" t="s">
        <v>71</v>
      </c>
      <c r="AP36" s="33" t="s">
        <v>77</v>
      </c>
      <c r="AQ36" s="33" t="s">
        <v>88</v>
      </c>
      <c r="AR36" s="33" t="s">
        <v>93</v>
      </c>
      <c r="AS36" s="33" t="s">
        <v>94</v>
      </c>
      <c r="AT36" s="33" t="s">
        <v>155</v>
      </c>
      <c r="AU36" s="15">
        <f>L36*H36^25</f>
        <v>220581.8911506974</v>
      </c>
      <c r="AV36" s="33" t="s">
        <v>72</v>
      </c>
      <c r="AW36" s="33" t="s">
        <v>63</v>
      </c>
      <c r="AX36" s="33" t="s">
        <v>64</v>
      </c>
      <c r="AY36" s="33" t="s">
        <v>65</v>
      </c>
      <c r="AZ36" s="33" t="s">
        <v>66</v>
      </c>
      <c r="BA36" s="33" t="s">
        <v>67</v>
      </c>
    </row>
    <row r="37" spans="1:53" ht="17.850000000000001" customHeight="1">
      <c r="A37" s="23" t="s">
        <v>156</v>
      </c>
      <c r="B37" s="6" t="s">
        <v>156</v>
      </c>
      <c r="C37" s="24" t="s">
        <v>157</v>
      </c>
      <c r="D37" s="25">
        <v>2015</v>
      </c>
      <c r="E37" s="12"/>
      <c r="F37" s="26">
        <v>15</v>
      </c>
      <c r="G37" s="27">
        <v>6</v>
      </c>
      <c r="H37" s="28">
        <f>H36</f>
        <v>1.0246500000000001</v>
      </c>
      <c r="I37" s="15"/>
      <c r="J37" s="15"/>
      <c r="K37" s="16"/>
      <c r="L37" s="133">
        <v>147000</v>
      </c>
      <c r="M37" s="15"/>
      <c r="N37" s="15"/>
      <c r="O37" s="15"/>
      <c r="P37" s="15"/>
      <c r="Q37" s="15"/>
      <c r="R37" s="15"/>
      <c r="S37" s="30">
        <v>2023</v>
      </c>
      <c r="T37" s="31" t="s">
        <v>66</v>
      </c>
      <c r="U37" s="31" t="s">
        <v>67</v>
      </c>
      <c r="V37" s="31" t="s">
        <v>68</v>
      </c>
      <c r="W37" s="33" t="s">
        <v>69</v>
      </c>
      <c r="X37" s="33" t="s">
        <v>70</v>
      </c>
      <c r="Y37" s="33" t="s">
        <v>71</v>
      </c>
      <c r="Z37" s="33" t="s">
        <v>77</v>
      </c>
      <c r="AA37" s="33" t="s">
        <v>88</v>
      </c>
      <c r="AB37" s="33" t="s">
        <v>93</v>
      </c>
      <c r="AC37" s="75" t="s">
        <v>94</v>
      </c>
      <c r="AD37" s="82">
        <f>L37*H37^8</f>
        <v>178616.54720760992</v>
      </c>
      <c r="AE37" s="134" t="s">
        <v>72</v>
      </c>
      <c r="AF37" s="33" t="s">
        <v>63</v>
      </c>
      <c r="AG37" s="33" t="s">
        <v>64</v>
      </c>
      <c r="AH37" s="33" t="s">
        <v>65</v>
      </c>
      <c r="AI37" s="33" t="s">
        <v>66</v>
      </c>
      <c r="AJ37" s="33" t="s">
        <v>67</v>
      </c>
      <c r="AK37" s="33" t="s">
        <v>68</v>
      </c>
      <c r="AL37" s="33" t="s">
        <v>69</v>
      </c>
      <c r="AM37" s="33" t="s">
        <v>70</v>
      </c>
      <c r="AN37" s="33" t="s">
        <v>71</v>
      </c>
      <c r="AO37" s="33" t="s">
        <v>77</v>
      </c>
      <c r="AP37" s="33" t="s">
        <v>88</v>
      </c>
      <c r="AQ37" s="33" t="s">
        <v>93</v>
      </c>
      <c r="AR37" s="33" t="s">
        <v>94</v>
      </c>
      <c r="AS37" s="15">
        <f>L37*H37^23</f>
        <v>257368.18256084644</v>
      </c>
      <c r="AT37" s="33" t="s">
        <v>72</v>
      </c>
      <c r="AU37" s="33" t="s">
        <v>63</v>
      </c>
      <c r="AV37" s="33" t="s">
        <v>64</v>
      </c>
      <c r="AW37" s="33" t="s">
        <v>65</v>
      </c>
      <c r="AX37" s="33" t="s">
        <v>66</v>
      </c>
      <c r="AY37" s="33" t="s">
        <v>67</v>
      </c>
      <c r="AZ37" s="33" t="s">
        <v>68</v>
      </c>
      <c r="BA37" s="33" t="s">
        <v>69</v>
      </c>
    </row>
    <row r="38" spans="1:53" ht="31.5">
      <c r="A38" s="135" t="s">
        <v>158</v>
      </c>
      <c r="B38" s="6" t="s">
        <v>159</v>
      </c>
      <c r="C38" s="24" t="s">
        <v>160</v>
      </c>
      <c r="D38" s="25">
        <v>2016</v>
      </c>
      <c r="E38" s="12"/>
      <c r="F38" s="26">
        <v>15</v>
      </c>
      <c r="G38" s="27">
        <v>5</v>
      </c>
      <c r="H38" s="28">
        <f>H37</f>
        <v>1.0246500000000001</v>
      </c>
      <c r="I38" s="15"/>
      <c r="J38" s="15"/>
      <c r="K38" s="16"/>
      <c r="L38" s="133">
        <v>100000</v>
      </c>
      <c r="M38" s="15"/>
      <c r="N38" s="15"/>
      <c r="O38" s="15"/>
      <c r="P38" s="15"/>
      <c r="Q38" s="15"/>
      <c r="R38" s="15"/>
      <c r="S38" s="30"/>
      <c r="T38" s="136" t="s">
        <v>154</v>
      </c>
      <c r="U38" s="31" t="s">
        <v>66</v>
      </c>
      <c r="V38" s="31" t="s">
        <v>67</v>
      </c>
      <c r="W38" s="33" t="s">
        <v>68</v>
      </c>
      <c r="X38" s="33" t="s">
        <v>69</v>
      </c>
      <c r="Y38" s="33" t="s">
        <v>70</v>
      </c>
      <c r="Z38" s="33" t="s">
        <v>71</v>
      </c>
      <c r="AA38" s="33" t="s">
        <v>77</v>
      </c>
      <c r="AB38" s="33" t="s">
        <v>88</v>
      </c>
      <c r="AC38" s="33" t="s">
        <v>93</v>
      </c>
      <c r="AD38" s="137" t="s">
        <v>94</v>
      </c>
      <c r="AE38" s="82">
        <f>L38*H38^9</f>
        <v>124503.02387501873</v>
      </c>
      <c r="AF38" s="77" t="s">
        <v>72</v>
      </c>
      <c r="AG38" s="33" t="s">
        <v>63</v>
      </c>
      <c r="AH38" s="33" t="s">
        <v>64</v>
      </c>
      <c r="AI38" s="33" t="s">
        <v>65</v>
      </c>
      <c r="AJ38" s="33" t="s">
        <v>66</v>
      </c>
      <c r="AK38" s="33" t="s">
        <v>67</v>
      </c>
      <c r="AL38" s="33" t="s">
        <v>68</v>
      </c>
      <c r="AM38" s="33" t="s">
        <v>69</v>
      </c>
      <c r="AN38" s="33" t="s">
        <v>70</v>
      </c>
      <c r="AO38" s="33" t="s">
        <v>71</v>
      </c>
      <c r="AP38" s="33" t="s">
        <v>77</v>
      </c>
      <c r="AQ38" s="33" t="s">
        <v>88</v>
      </c>
      <c r="AR38" s="33" t="s">
        <v>93</v>
      </c>
      <c r="AS38" s="33" t="s">
        <v>94</v>
      </c>
      <c r="AT38" s="33" t="s">
        <v>155</v>
      </c>
      <c r="AU38" s="15">
        <f>L38*H38^25</f>
        <v>183818.24262558119</v>
      </c>
      <c r="AV38" s="33" t="s">
        <v>72</v>
      </c>
      <c r="AW38" s="33" t="s">
        <v>63</v>
      </c>
      <c r="AX38" s="33" t="s">
        <v>64</v>
      </c>
      <c r="AY38" s="33" t="s">
        <v>65</v>
      </c>
      <c r="AZ38" s="33" t="s">
        <v>66</v>
      </c>
      <c r="BA38" s="33" t="s">
        <v>67</v>
      </c>
    </row>
    <row r="39" spans="1:53" ht="17.850000000000001" customHeight="1">
      <c r="A39" s="138" t="s">
        <v>161</v>
      </c>
      <c r="B39" s="139" t="s">
        <v>161</v>
      </c>
      <c r="C39" s="24" t="s">
        <v>162</v>
      </c>
      <c r="D39" s="25">
        <v>2011</v>
      </c>
      <c r="E39" s="12"/>
      <c r="F39" s="26">
        <v>15</v>
      </c>
      <c r="G39" s="27">
        <v>10</v>
      </c>
      <c r="H39" s="28">
        <f>H38</f>
        <v>1.0246500000000001</v>
      </c>
      <c r="I39" s="15"/>
      <c r="J39" s="15"/>
      <c r="K39" s="16"/>
      <c r="L39" s="71">
        <v>15000</v>
      </c>
      <c r="M39" s="15"/>
      <c r="N39" s="15"/>
      <c r="O39" s="15"/>
      <c r="P39" s="15"/>
      <c r="Q39" s="15"/>
      <c r="R39" s="15"/>
      <c r="S39" s="30">
        <v>2023</v>
      </c>
      <c r="T39" s="136" t="s">
        <v>70</v>
      </c>
      <c r="U39" s="45">
        <v>14997</v>
      </c>
      <c r="V39" s="31" t="s">
        <v>72</v>
      </c>
      <c r="W39" s="33" t="s">
        <v>63</v>
      </c>
      <c r="X39" s="33" t="s">
        <v>64</v>
      </c>
      <c r="Y39" s="33" t="s">
        <v>65</v>
      </c>
      <c r="Z39" s="33" t="s">
        <v>66</v>
      </c>
      <c r="AA39" s="33" t="s">
        <v>67</v>
      </c>
      <c r="AB39" s="33" t="s">
        <v>68</v>
      </c>
      <c r="AC39" s="33" t="s">
        <v>69</v>
      </c>
      <c r="AD39" s="33" t="s">
        <v>70</v>
      </c>
      <c r="AE39" s="140" t="s">
        <v>71</v>
      </c>
      <c r="AF39" s="33" t="s">
        <v>77</v>
      </c>
      <c r="AG39" s="33" t="s">
        <v>88</v>
      </c>
      <c r="AH39" s="33" t="s">
        <v>93</v>
      </c>
      <c r="AI39" s="33" t="s">
        <v>94</v>
      </c>
      <c r="AJ39" s="15">
        <f>L39*H39^14</f>
        <v>21093.511328164426</v>
      </c>
      <c r="AK39" s="33" t="s">
        <v>72</v>
      </c>
      <c r="AL39" s="33" t="s">
        <v>63</v>
      </c>
      <c r="AM39" s="33" t="s">
        <v>64</v>
      </c>
      <c r="AN39" s="33" t="s">
        <v>65</v>
      </c>
      <c r="AO39" s="33" t="s">
        <v>66</v>
      </c>
      <c r="AP39" s="33" t="s">
        <v>67</v>
      </c>
      <c r="AQ39" s="33" t="s">
        <v>68</v>
      </c>
      <c r="AR39" s="33" t="s">
        <v>69</v>
      </c>
      <c r="AS39" s="33" t="s">
        <v>70</v>
      </c>
      <c r="AT39" s="33" t="s">
        <v>71</v>
      </c>
      <c r="AU39" s="33" t="s">
        <v>77</v>
      </c>
      <c r="AV39" s="33" t="s">
        <v>88</v>
      </c>
      <c r="AW39" s="33" t="s">
        <v>93</v>
      </c>
      <c r="AX39" s="33" t="s">
        <v>94</v>
      </c>
      <c r="AY39" s="15">
        <f>L39*H39^29</f>
        <v>30393.593198542203</v>
      </c>
      <c r="AZ39" s="33" t="s">
        <v>72</v>
      </c>
      <c r="BA39" s="33" t="s">
        <v>63</v>
      </c>
    </row>
    <row r="40" spans="1:53" ht="17.850000000000001" customHeight="1">
      <c r="A40" s="141" t="s">
        <v>163</v>
      </c>
      <c r="B40" s="142" t="s">
        <v>163</v>
      </c>
      <c r="C40" s="24" t="s">
        <v>164</v>
      </c>
      <c r="D40" s="25">
        <v>2013</v>
      </c>
      <c r="E40" s="12"/>
      <c r="F40" s="26">
        <v>15</v>
      </c>
      <c r="G40" s="27">
        <v>8</v>
      </c>
      <c r="H40" s="28">
        <f>H39</f>
        <v>1.0246500000000001</v>
      </c>
      <c r="I40" s="15"/>
      <c r="J40" s="15"/>
      <c r="K40" s="16"/>
      <c r="L40" s="71">
        <v>30000</v>
      </c>
      <c r="M40" s="15"/>
      <c r="N40" s="15"/>
      <c r="O40" s="15"/>
      <c r="P40" s="15"/>
      <c r="Q40" s="15"/>
      <c r="R40" s="15"/>
      <c r="S40" s="30">
        <v>2023</v>
      </c>
      <c r="T40" s="143" t="s">
        <v>68</v>
      </c>
      <c r="U40" s="31" t="s">
        <v>69</v>
      </c>
      <c r="V40" s="31" t="s">
        <v>70</v>
      </c>
      <c r="W40" s="33" t="s">
        <v>71</v>
      </c>
      <c r="X40" s="33" t="s">
        <v>77</v>
      </c>
      <c r="Y40" s="33" t="s">
        <v>88</v>
      </c>
      <c r="Z40" s="33" t="s">
        <v>93</v>
      </c>
      <c r="AA40" s="33" t="s">
        <v>94</v>
      </c>
      <c r="AB40" s="15">
        <f>L40*H40^6</f>
        <v>34719.584648964301</v>
      </c>
      <c r="AC40" s="33" t="s">
        <v>72</v>
      </c>
      <c r="AD40" s="33" t="s">
        <v>63</v>
      </c>
      <c r="AE40" s="33" t="s">
        <v>64</v>
      </c>
      <c r="AF40" s="33" t="s">
        <v>65</v>
      </c>
      <c r="AG40" s="33" t="s">
        <v>66</v>
      </c>
      <c r="AH40" s="33" t="s">
        <v>67</v>
      </c>
      <c r="AI40" s="33" t="s">
        <v>68</v>
      </c>
      <c r="AJ40" s="33" t="s">
        <v>69</v>
      </c>
      <c r="AK40" s="33" t="s">
        <v>70</v>
      </c>
      <c r="AL40" s="33" t="s">
        <v>71</v>
      </c>
      <c r="AM40" s="33" t="s">
        <v>77</v>
      </c>
      <c r="AN40" s="33" t="s">
        <v>88</v>
      </c>
      <c r="AO40" s="33" t="s">
        <v>93</v>
      </c>
      <c r="AP40" s="33" t="s">
        <v>94</v>
      </c>
      <c r="AQ40" s="15">
        <f>L40*H40^21</f>
        <v>50027.371708093931</v>
      </c>
      <c r="AR40" s="33" t="s">
        <v>72</v>
      </c>
      <c r="AS40" s="33" t="s">
        <v>63</v>
      </c>
      <c r="AT40" s="33" t="s">
        <v>64</v>
      </c>
      <c r="AU40" s="33" t="s">
        <v>65</v>
      </c>
      <c r="AV40" s="33" t="s">
        <v>66</v>
      </c>
      <c r="AW40" s="33" t="s">
        <v>67</v>
      </c>
      <c r="AX40" s="33" t="s">
        <v>68</v>
      </c>
      <c r="AY40" s="33" t="s">
        <v>69</v>
      </c>
      <c r="AZ40" s="33" t="s">
        <v>70</v>
      </c>
      <c r="BA40" s="33" t="s">
        <v>71</v>
      </c>
    </row>
    <row r="41" spans="1:53" ht="17.850000000000001" customHeight="1">
      <c r="A41" s="144" t="s">
        <v>165</v>
      </c>
      <c r="B41" s="145" t="s">
        <v>166</v>
      </c>
      <c r="C41" s="146" t="s">
        <v>167</v>
      </c>
      <c r="D41" s="25">
        <v>2023</v>
      </c>
      <c r="E41" s="12"/>
      <c r="F41" s="26">
        <v>15</v>
      </c>
      <c r="G41" s="42" t="s">
        <v>125</v>
      </c>
      <c r="H41" s="28">
        <f>H40</f>
        <v>1.0246500000000001</v>
      </c>
      <c r="I41" s="15"/>
      <c r="J41" s="15"/>
      <c r="K41" s="16"/>
      <c r="L41" s="71">
        <v>37379</v>
      </c>
      <c r="M41" s="15"/>
      <c r="N41" s="15"/>
      <c r="O41" s="15"/>
      <c r="P41" s="15"/>
      <c r="Q41" s="15"/>
      <c r="R41" s="15"/>
      <c r="S41" s="30">
        <v>2023</v>
      </c>
      <c r="T41" s="136" t="s">
        <v>95</v>
      </c>
      <c r="U41" s="81" t="s">
        <v>96</v>
      </c>
      <c r="V41" s="45">
        <v>37379</v>
      </c>
      <c r="W41" s="33" t="s">
        <v>72</v>
      </c>
      <c r="X41" s="33" t="s">
        <v>63</v>
      </c>
      <c r="Y41" s="33" t="s">
        <v>64</v>
      </c>
      <c r="Z41" s="33" t="s">
        <v>65</v>
      </c>
      <c r="AA41" s="33" t="s">
        <v>66</v>
      </c>
      <c r="AB41" s="33" t="s">
        <v>67</v>
      </c>
      <c r="AC41" s="33" t="s">
        <v>68</v>
      </c>
      <c r="AD41" s="33" t="s">
        <v>69</v>
      </c>
      <c r="AE41" s="33" t="s">
        <v>70</v>
      </c>
      <c r="AF41" s="33" t="s">
        <v>71</v>
      </c>
      <c r="AG41" s="33" t="s">
        <v>77</v>
      </c>
      <c r="AH41" s="33" t="s">
        <v>88</v>
      </c>
      <c r="AI41" s="33" t="s">
        <v>93</v>
      </c>
      <c r="AJ41" s="33" t="s">
        <v>94</v>
      </c>
      <c r="AK41" s="15">
        <f>L41*H41^15</f>
        <v>53859.317327191144</v>
      </c>
      <c r="AL41" s="33" t="s">
        <v>72</v>
      </c>
      <c r="AM41" s="33" t="s">
        <v>63</v>
      </c>
      <c r="AN41" s="33" t="s">
        <v>64</v>
      </c>
      <c r="AO41" s="33" t="s">
        <v>65</v>
      </c>
      <c r="AP41" s="33" t="s">
        <v>66</v>
      </c>
      <c r="AQ41" s="33" t="s">
        <v>67</v>
      </c>
      <c r="AR41" s="33" t="s">
        <v>68</v>
      </c>
      <c r="AS41" s="33" t="s">
        <v>69</v>
      </c>
      <c r="AT41" s="33" t="s">
        <v>70</v>
      </c>
      <c r="AU41" s="33" t="s">
        <v>71</v>
      </c>
      <c r="AV41" s="33" t="s">
        <v>77</v>
      </c>
      <c r="AW41" s="33" t="s">
        <v>88</v>
      </c>
      <c r="AX41" s="33" t="s">
        <v>93</v>
      </c>
      <c r="AY41" s="33" t="s">
        <v>94</v>
      </c>
      <c r="AZ41" s="15">
        <f>L41*H41^30</f>
        <v>77605.769628697191</v>
      </c>
      <c r="BA41" s="33" t="s">
        <v>72</v>
      </c>
    </row>
    <row r="42" spans="1:53" ht="17.850000000000001" customHeight="1">
      <c r="A42" s="147"/>
      <c r="B42" s="147"/>
      <c r="C42" s="106"/>
      <c r="D42" s="148"/>
      <c r="E42" s="12"/>
      <c r="F42" s="107"/>
      <c r="G42" s="107"/>
      <c r="H42" s="149"/>
      <c r="I42" s="45"/>
      <c r="J42" s="45"/>
      <c r="K42" s="79"/>
      <c r="L42" s="150"/>
      <c r="M42" s="80"/>
      <c r="N42" s="45"/>
      <c r="O42" s="45"/>
      <c r="P42" s="45"/>
      <c r="Q42" s="45"/>
      <c r="R42" s="45"/>
      <c r="S42" s="105"/>
      <c r="T42" s="54"/>
      <c r="U42" s="151"/>
      <c r="V42" s="129"/>
      <c r="W42" s="129"/>
      <c r="X42" s="151"/>
      <c r="Y42" s="129"/>
      <c r="Z42" s="129"/>
      <c r="AA42" s="151"/>
      <c r="AB42" s="129"/>
      <c r="AC42" s="129"/>
      <c r="AD42" s="151"/>
      <c r="AE42" s="129"/>
      <c r="AF42" s="129"/>
      <c r="AG42" s="151"/>
      <c r="AH42" s="152"/>
      <c r="AI42" s="129"/>
      <c r="AJ42" s="151"/>
      <c r="AK42" s="129"/>
      <c r="AL42" s="129"/>
      <c r="AM42" s="151"/>
      <c r="AN42" s="129"/>
      <c r="AO42" s="129"/>
      <c r="AP42" s="151"/>
      <c r="AQ42" s="129"/>
      <c r="AR42" s="129"/>
      <c r="AS42" s="151"/>
      <c r="AT42" s="129"/>
      <c r="AU42" s="129"/>
      <c r="AV42" s="151"/>
      <c r="AW42" s="129"/>
      <c r="AX42" s="129"/>
      <c r="AY42" s="151"/>
      <c r="AZ42" s="151"/>
      <c r="BA42" s="151"/>
    </row>
    <row r="43" spans="1:53" ht="17.850000000000001" customHeight="1">
      <c r="A43" s="23"/>
      <c r="B43" s="147"/>
      <c r="C43" s="106"/>
      <c r="D43" s="148"/>
      <c r="E43" s="12"/>
      <c r="F43" s="107"/>
      <c r="G43" s="107"/>
      <c r="H43" s="149"/>
      <c r="I43" s="45"/>
      <c r="J43" s="45"/>
      <c r="K43" s="79"/>
      <c r="L43" s="150"/>
      <c r="M43" s="80"/>
      <c r="N43" s="45"/>
      <c r="O43" s="45"/>
      <c r="P43" s="45"/>
      <c r="Q43" s="45"/>
      <c r="R43" s="45"/>
      <c r="S43" s="105"/>
      <c r="T43" s="54"/>
      <c r="U43" s="151"/>
      <c r="V43" s="129"/>
      <c r="W43" s="129"/>
      <c r="X43" s="151"/>
      <c r="Y43" s="129"/>
      <c r="Z43" s="129"/>
      <c r="AA43" s="151"/>
      <c r="AB43" s="129"/>
      <c r="AC43" s="129"/>
      <c r="AD43" s="151"/>
      <c r="AE43" s="129"/>
      <c r="AF43" s="129"/>
      <c r="AG43" s="151"/>
      <c r="AH43" s="153"/>
      <c r="AI43" s="129"/>
      <c r="AJ43" s="151"/>
      <c r="AK43" s="129"/>
      <c r="AL43" s="129"/>
      <c r="AM43" s="151"/>
      <c r="AN43" s="129"/>
      <c r="AO43" s="129"/>
      <c r="AP43" s="151"/>
      <c r="AQ43" s="129"/>
      <c r="AR43" s="152"/>
      <c r="AS43" s="151"/>
      <c r="AT43" s="129"/>
      <c r="AU43" s="129"/>
      <c r="AV43" s="151"/>
      <c r="AW43" s="129"/>
      <c r="AX43" s="129"/>
      <c r="AY43" s="151"/>
      <c r="AZ43" s="151"/>
      <c r="BA43" s="151"/>
    </row>
    <row r="44" spans="1:53" ht="17.850000000000001" customHeight="1">
      <c r="A44" s="23"/>
      <c r="B44" s="150"/>
      <c r="C44" s="107"/>
      <c r="D44" s="129"/>
      <c r="E44" s="12"/>
      <c r="F44" s="107"/>
      <c r="G44" s="70"/>
      <c r="H44" s="107"/>
      <c r="I44" s="15"/>
      <c r="J44" s="15"/>
      <c r="K44" s="16"/>
      <c r="L44" s="154"/>
      <c r="M44" s="15"/>
      <c r="N44" s="15"/>
      <c r="O44" s="15"/>
      <c r="P44" s="15"/>
      <c r="Q44" s="15"/>
      <c r="R44" s="15"/>
      <c r="S44" s="54"/>
      <c r="T44" s="151"/>
      <c r="U44" s="151"/>
      <c r="V44" s="151"/>
      <c r="W44" s="81"/>
      <c r="X44" s="54"/>
      <c r="Y44" s="81"/>
      <c r="Z44" s="81"/>
      <c r="AA44" s="81"/>
      <c r="AB44" s="81"/>
      <c r="AC44" s="81"/>
      <c r="AD44" s="81"/>
      <c r="AE44" s="81"/>
      <c r="AF44" s="81"/>
      <c r="AG44" s="81"/>
      <c r="AH44" s="81"/>
      <c r="AI44" s="81"/>
      <c r="AJ44" s="81"/>
      <c r="AK44" s="54"/>
      <c r="AL44" s="81"/>
      <c r="AM44" s="81"/>
      <c r="AN44" s="81"/>
      <c r="AO44" s="81"/>
      <c r="AP44" s="81"/>
      <c r="AQ44" s="81"/>
      <c r="AR44" s="155"/>
      <c r="AS44" s="81"/>
      <c r="AT44" s="81"/>
      <c r="AU44" s="81"/>
      <c r="AV44" s="81"/>
      <c r="AW44" s="81"/>
      <c r="AX44" s="81"/>
      <c r="AY44" s="81"/>
      <c r="AZ44" s="81"/>
      <c r="BA44" s="81"/>
    </row>
    <row r="45" spans="1:53" ht="30">
      <c r="A45" s="156" t="s">
        <v>168</v>
      </c>
      <c r="B45" s="157" t="s">
        <v>169</v>
      </c>
      <c r="C45" s="70"/>
      <c r="D45" s="13"/>
      <c r="E45" s="12"/>
      <c r="F45" s="70"/>
      <c r="G45" s="70"/>
      <c r="H45" s="70"/>
      <c r="I45" s="15"/>
      <c r="J45" s="15"/>
      <c r="K45" s="16"/>
      <c r="L45" s="158"/>
      <c r="M45" s="15"/>
      <c r="N45" s="15"/>
      <c r="O45" s="15"/>
      <c r="P45" s="15"/>
      <c r="Q45" s="15"/>
      <c r="R45" s="15"/>
      <c r="S45" s="15"/>
      <c r="T45" s="72" t="s">
        <v>92</v>
      </c>
      <c r="U45" s="72" t="s">
        <v>92</v>
      </c>
      <c r="V45" s="72" t="s">
        <v>92</v>
      </c>
      <c r="W45" s="72" t="s">
        <v>92</v>
      </c>
      <c r="X45" s="15">
        <v>15000</v>
      </c>
      <c r="Y45" s="159" t="s">
        <v>92</v>
      </c>
      <c r="Z45" s="159" t="s">
        <v>92</v>
      </c>
      <c r="AA45" s="159" t="s">
        <v>92</v>
      </c>
      <c r="AB45" s="160">
        <v>5000</v>
      </c>
      <c r="AC45" s="159" t="s">
        <v>92</v>
      </c>
      <c r="AD45" s="159" t="s">
        <v>92</v>
      </c>
      <c r="AE45" s="159" t="s">
        <v>92</v>
      </c>
      <c r="AF45" s="159" t="s">
        <v>92</v>
      </c>
      <c r="AG45" s="159" t="s">
        <v>92</v>
      </c>
      <c r="AH45" s="159" t="s">
        <v>92</v>
      </c>
      <c r="AI45" s="159" t="s">
        <v>92</v>
      </c>
      <c r="AJ45" s="159" t="s">
        <v>92</v>
      </c>
      <c r="AK45" s="159" t="s">
        <v>92</v>
      </c>
      <c r="AL45" s="160">
        <v>0</v>
      </c>
      <c r="AM45" s="159" t="s">
        <v>92</v>
      </c>
      <c r="AN45" s="159" t="s">
        <v>92</v>
      </c>
      <c r="AO45" s="159" t="s">
        <v>92</v>
      </c>
      <c r="AP45" s="159" t="s">
        <v>92</v>
      </c>
      <c r="AQ45" s="159" t="s">
        <v>92</v>
      </c>
      <c r="AR45" s="159" t="s">
        <v>92</v>
      </c>
      <c r="AS45" s="159" t="s">
        <v>92</v>
      </c>
      <c r="AT45" s="159" t="s">
        <v>92</v>
      </c>
      <c r="AU45" s="159" t="s">
        <v>92</v>
      </c>
      <c r="AV45" s="159" t="s">
        <v>92</v>
      </c>
      <c r="AW45" s="159" t="s">
        <v>92</v>
      </c>
      <c r="AX45" s="159" t="s">
        <v>92</v>
      </c>
      <c r="AY45" s="159" t="s">
        <v>92</v>
      </c>
      <c r="AZ45" s="159" t="s">
        <v>92</v>
      </c>
      <c r="BA45" s="159" t="s">
        <v>92</v>
      </c>
    </row>
    <row r="46" spans="1:53" ht="17.850000000000001" customHeight="1">
      <c r="A46" s="23"/>
      <c r="B46" s="150"/>
      <c r="C46" s="161"/>
      <c r="D46" s="162"/>
      <c r="E46" s="12"/>
      <c r="F46" s="161"/>
      <c r="G46" s="70"/>
      <c r="H46" s="161"/>
      <c r="I46" s="15"/>
      <c r="J46" s="15"/>
      <c r="K46" s="16"/>
      <c r="L46" s="163"/>
      <c r="M46" s="15"/>
      <c r="N46" s="15"/>
      <c r="O46" s="15"/>
      <c r="P46" s="15"/>
      <c r="Q46" s="15"/>
      <c r="R46" s="15"/>
      <c r="S46" s="34"/>
      <c r="T46" s="164"/>
      <c r="U46" s="164"/>
      <c r="V46" s="164"/>
      <c r="W46" s="164"/>
      <c r="X46" s="34"/>
      <c r="Y46" s="165"/>
      <c r="Z46" s="165"/>
      <c r="AA46" s="165"/>
      <c r="AB46" s="165"/>
      <c r="AC46" s="165"/>
      <c r="AD46" s="165"/>
      <c r="AE46" s="165"/>
      <c r="AF46" s="165"/>
      <c r="AG46" s="165"/>
      <c r="AH46" s="165"/>
      <c r="AI46" s="165"/>
      <c r="AJ46" s="165"/>
      <c r="AK46" s="34"/>
      <c r="AL46" s="165"/>
      <c r="AM46" s="165"/>
      <c r="AN46" s="165"/>
      <c r="AO46" s="165"/>
      <c r="AP46" s="165"/>
      <c r="AQ46" s="165"/>
      <c r="AR46" s="165"/>
      <c r="AS46" s="165"/>
      <c r="AT46" s="165"/>
      <c r="AU46" s="165"/>
      <c r="AV46" s="165"/>
      <c r="AW46" s="165"/>
      <c r="AX46" s="165"/>
      <c r="AY46" s="165"/>
      <c r="AZ46" s="165"/>
      <c r="BA46" s="165"/>
    </row>
    <row r="47" spans="1:53" ht="17.850000000000001" customHeight="1">
      <c r="A47" s="126"/>
      <c r="B47" s="127"/>
      <c r="C47" s="166"/>
      <c r="D47" s="166"/>
      <c r="E47" s="12"/>
      <c r="F47" s="56"/>
      <c r="G47" s="13"/>
      <c r="H47" s="167"/>
      <c r="I47" s="15"/>
      <c r="J47" s="15"/>
      <c r="K47" s="16"/>
      <c r="L47" s="168"/>
      <c r="M47" s="169" t="s">
        <v>170</v>
      </c>
      <c r="N47" s="169" t="s">
        <v>170</v>
      </c>
      <c r="O47" s="169" t="s">
        <v>170</v>
      </c>
      <c r="P47" s="169" t="s">
        <v>170</v>
      </c>
      <c r="Q47" s="169" t="s">
        <v>170</v>
      </c>
      <c r="R47" s="169" t="s">
        <v>170</v>
      </c>
      <c r="S47" s="170"/>
      <c r="T47" s="170"/>
      <c r="U47" s="170" t="s">
        <v>171</v>
      </c>
      <c r="V47" s="170" t="s">
        <v>171</v>
      </c>
      <c r="W47" s="170" t="s">
        <v>171</v>
      </c>
      <c r="X47" s="170" t="s">
        <v>171</v>
      </c>
      <c r="Y47" s="170" t="s">
        <v>171</v>
      </c>
      <c r="Z47" s="170" t="s">
        <v>171</v>
      </c>
      <c r="AA47" s="170" t="s">
        <v>171</v>
      </c>
      <c r="AB47" s="170" t="s">
        <v>171</v>
      </c>
      <c r="AC47" s="170" t="s">
        <v>171</v>
      </c>
      <c r="AD47" s="170" t="s">
        <v>171</v>
      </c>
      <c r="AE47" s="170" t="s">
        <v>171</v>
      </c>
      <c r="AF47" s="170" t="s">
        <v>171</v>
      </c>
      <c r="AG47" s="170" t="s">
        <v>171</v>
      </c>
      <c r="AH47" s="170" t="s">
        <v>171</v>
      </c>
      <c r="AI47" s="170" t="s">
        <v>171</v>
      </c>
      <c r="AJ47" s="170" t="s">
        <v>171</v>
      </c>
      <c r="AK47" s="170" t="s">
        <v>171</v>
      </c>
      <c r="AL47" s="170" t="s">
        <v>171</v>
      </c>
      <c r="AM47" s="170" t="s">
        <v>171</v>
      </c>
      <c r="AN47" s="170" t="s">
        <v>171</v>
      </c>
      <c r="AO47" s="170" t="s">
        <v>171</v>
      </c>
      <c r="AP47" s="170" t="s">
        <v>171</v>
      </c>
      <c r="AQ47" s="170" t="s">
        <v>171</v>
      </c>
      <c r="AR47" s="170" t="s">
        <v>171</v>
      </c>
      <c r="AS47" s="170" t="s">
        <v>171</v>
      </c>
      <c r="AT47" s="170" t="s">
        <v>171</v>
      </c>
      <c r="AU47" s="170" t="s">
        <v>171</v>
      </c>
      <c r="AV47" s="170" t="s">
        <v>171</v>
      </c>
      <c r="AW47" s="170" t="s">
        <v>171</v>
      </c>
      <c r="AX47" s="170" t="s">
        <v>171</v>
      </c>
      <c r="AY47" s="170" t="s">
        <v>171</v>
      </c>
      <c r="AZ47" s="170" t="s">
        <v>171</v>
      </c>
      <c r="BA47" s="170" t="s">
        <v>171</v>
      </c>
    </row>
    <row r="48" spans="1:53" ht="31.15" customHeight="1">
      <c r="A48" s="23" t="s">
        <v>172</v>
      </c>
      <c r="B48" s="127"/>
      <c r="C48" s="166"/>
      <c r="D48" s="166"/>
      <c r="E48" s="12"/>
      <c r="F48" s="56"/>
      <c r="G48" s="13"/>
      <c r="H48" s="160"/>
      <c r="I48" s="15"/>
      <c r="J48" s="15"/>
      <c r="K48" s="16"/>
      <c r="L48" s="171"/>
      <c r="M48" s="15"/>
      <c r="N48" s="15"/>
      <c r="O48" s="15"/>
      <c r="P48" s="15"/>
      <c r="Q48" s="172"/>
      <c r="R48" s="172"/>
      <c r="S48" s="173"/>
      <c r="T48" s="173" t="s">
        <v>173</v>
      </c>
      <c r="U48" s="174"/>
      <c r="V48" s="15">
        <f>SUM(V3:V45)</f>
        <v>213174.2</v>
      </c>
      <c r="W48" s="15">
        <f>SUM(W3:W41)</f>
        <v>454508.2</v>
      </c>
      <c r="X48" s="15">
        <f t="shared" ref="X48:BA48" si="1">SUM(X3:X45)</f>
        <v>240730.13883750004</v>
      </c>
      <c r="Y48" s="15">
        <f t="shared" si="1"/>
        <v>244203.84090457993</v>
      </c>
      <c r="Z48" s="15">
        <f t="shared" si="1"/>
        <v>489423.87100791972</v>
      </c>
      <c r="AA48" s="15">
        <f t="shared" si="1"/>
        <v>347617.64999611373</v>
      </c>
      <c r="AB48" s="15">
        <f t="shared" si="1"/>
        <v>450400.19166923856</v>
      </c>
      <c r="AC48" s="15">
        <f t="shared" si="1"/>
        <v>314249.56462662457</v>
      </c>
      <c r="AD48" s="15">
        <f t="shared" si="1"/>
        <v>308429.46435675962</v>
      </c>
      <c r="AE48" s="15">
        <f t="shared" si="1"/>
        <v>541588.15385633148</v>
      </c>
      <c r="AF48" s="15">
        <f t="shared" si="1"/>
        <v>562125.3907179503</v>
      </c>
      <c r="AG48" s="15">
        <f t="shared" si="1"/>
        <v>481375.489197766</v>
      </c>
      <c r="AH48" s="15">
        <f t="shared" si="1"/>
        <v>287968.50556918723</v>
      </c>
      <c r="AI48" s="15">
        <f t="shared" si="1"/>
        <v>295066.92923146771</v>
      </c>
      <c r="AJ48" s="15">
        <f t="shared" si="1"/>
        <v>662336.25570436288</v>
      </c>
      <c r="AK48" s="15">
        <f t="shared" si="1"/>
        <v>497322.18716982368</v>
      </c>
      <c r="AL48" s="15">
        <f t="shared" si="1"/>
        <v>580017.36390887992</v>
      </c>
      <c r="AM48" s="15">
        <f t="shared" si="1"/>
        <v>325254.05115064152</v>
      </c>
      <c r="AN48" s="15">
        <f t="shared" si="1"/>
        <v>165604.96505930988</v>
      </c>
      <c r="AO48" s="15">
        <f t="shared" si="1"/>
        <v>360546.43076427164</v>
      </c>
      <c r="AP48" s="15">
        <f t="shared" si="1"/>
        <v>258876.27846236451</v>
      </c>
      <c r="AQ48" s="15">
        <f t="shared" si="1"/>
        <v>1173809.1878251473</v>
      </c>
      <c r="AR48" s="15">
        <f t="shared" si="1"/>
        <v>387871.46791661816</v>
      </c>
      <c r="AS48" s="15">
        <f t="shared" si="1"/>
        <v>633791.03460562183</v>
      </c>
      <c r="AT48" s="15">
        <f t="shared" si="1"/>
        <v>801515.79807426396</v>
      </c>
      <c r="AU48" s="15">
        <f t="shared" si="1"/>
        <v>799609.35542127816</v>
      </c>
      <c r="AV48" s="15">
        <f t="shared" si="1"/>
        <v>910465.22178941267</v>
      </c>
      <c r="AW48" s="15">
        <f t="shared" si="1"/>
        <v>438092.23517783527</v>
      </c>
      <c r="AX48" s="15">
        <f t="shared" si="1"/>
        <v>211265.60479944412</v>
      </c>
      <c r="AY48" s="15">
        <f t="shared" si="1"/>
        <v>466035.09571098047</v>
      </c>
      <c r="AZ48" s="15">
        <f t="shared" si="1"/>
        <v>1017357.7835582652</v>
      </c>
      <c r="BA48" s="15">
        <f t="shared" si="1"/>
        <v>757891.99999614642</v>
      </c>
    </row>
    <row r="49" spans="1:53" ht="17.850000000000001" customHeight="1">
      <c r="A49" s="175" t="s">
        <v>174</v>
      </c>
      <c r="B49" s="127"/>
      <c r="C49" s="166"/>
      <c r="D49" s="166"/>
      <c r="E49" s="12"/>
      <c r="F49" s="56"/>
      <c r="G49" s="13"/>
      <c r="H49" s="160"/>
      <c r="I49" s="15"/>
      <c r="J49" s="15"/>
      <c r="K49" s="16"/>
      <c r="L49" s="171"/>
      <c r="M49" s="15"/>
      <c r="N49" s="15"/>
      <c r="O49" s="15"/>
      <c r="P49" s="15"/>
      <c r="Q49" s="15"/>
      <c r="R49" s="45"/>
      <c r="S49" s="176"/>
      <c r="T49" s="176" t="s">
        <v>175</v>
      </c>
      <c r="U49" s="45">
        <v>47500</v>
      </c>
      <c r="V49" s="15"/>
      <c r="W49" s="15">
        <f t="shared" ref="W49:BA49" si="2">0.05*W2</f>
        <v>10750</v>
      </c>
      <c r="X49" s="15">
        <f t="shared" si="2"/>
        <v>11286.506941875003</v>
      </c>
      <c r="Y49" s="15">
        <f t="shared" si="2"/>
        <v>11564.719337992223</v>
      </c>
      <c r="Z49" s="15">
        <f t="shared" si="2"/>
        <v>15156.707717024541</v>
      </c>
      <c r="AA49" s="15">
        <f t="shared" si="2"/>
        <v>12141.886985031189</v>
      </c>
      <c r="AB49" s="15">
        <f t="shared" si="2"/>
        <v>12441.184499212208</v>
      </c>
      <c r="AC49" s="15">
        <f t="shared" si="2"/>
        <v>12747.85969711779</v>
      </c>
      <c r="AD49" s="15">
        <f t="shared" si="2"/>
        <v>0</v>
      </c>
      <c r="AE49" s="15">
        <f t="shared" si="2"/>
        <v>13384.075066564516</v>
      </c>
      <c r="AF49" s="15">
        <f t="shared" si="2"/>
        <v>0</v>
      </c>
      <c r="AG49" s="15">
        <f t="shared" si="2"/>
        <v>14052.042432498278</v>
      </c>
      <c r="AH49" s="15">
        <f t="shared" si="2"/>
        <v>14398.425278459363</v>
      </c>
      <c r="AI49" s="15">
        <f t="shared" si="2"/>
        <v>14753.346461573386</v>
      </c>
      <c r="AJ49" s="15">
        <f t="shared" si="2"/>
        <v>19335.718717484058</v>
      </c>
      <c r="AK49" s="15">
        <f t="shared" si="2"/>
        <v>15489.650907389305</v>
      </c>
      <c r="AL49" s="15">
        <f t="shared" si="2"/>
        <v>15871.470802256454</v>
      </c>
      <c r="AM49" s="15">
        <f t="shared" si="2"/>
        <v>16262.702557532077</v>
      </c>
      <c r="AN49" s="15">
        <f t="shared" si="2"/>
        <v>0</v>
      </c>
      <c r="AO49" s="15">
        <f t="shared" si="2"/>
        <v>17074.335377603173</v>
      </c>
      <c r="AP49" s="15">
        <f t="shared" si="2"/>
        <v>0</v>
      </c>
      <c r="AQ49" s="15">
        <f t="shared" si="2"/>
        <v>17926.474862066993</v>
      </c>
      <c r="AR49" s="15">
        <f t="shared" si="2"/>
        <v>18368.36246741694</v>
      </c>
      <c r="AS49" s="15">
        <f t="shared" si="2"/>
        <v>18821.142602238771</v>
      </c>
      <c r="AT49" s="15">
        <f t="shared" si="2"/>
        <v>24666.967609444604</v>
      </c>
      <c r="AU49" s="15">
        <f t="shared" si="2"/>
        <v>19760.461082249978</v>
      </c>
      <c r="AV49" s="15">
        <f t="shared" si="2"/>
        <v>20247.556447927444</v>
      </c>
      <c r="AW49" s="15">
        <f t="shared" si="2"/>
        <v>20746.658714368852</v>
      </c>
      <c r="AX49" s="15">
        <f t="shared" si="2"/>
        <v>0</v>
      </c>
      <c r="AY49" s="15">
        <f t="shared" si="2"/>
        <v>21782.075125621916</v>
      </c>
      <c r="AZ49" s="15">
        <f t="shared" si="2"/>
        <v>0</v>
      </c>
      <c r="BA49" s="15">
        <f t="shared" si="2"/>
        <v>22869.166708258097</v>
      </c>
    </row>
    <row r="50" spans="1:53" ht="31.15" customHeight="1">
      <c r="A50" s="177" t="s">
        <v>176</v>
      </c>
      <c r="B50" s="127"/>
      <c r="C50" s="166"/>
      <c r="D50" s="166"/>
      <c r="E50" s="12"/>
      <c r="F50" s="56"/>
      <c r="G50" s="13"/>
      <c r="H50" s="160"/>
      <c r="I50" s="15"/>
      <c r="J50" s="15"/>
      <c r="K50" s="16"/>
      <c r="L50" s="45"/>
      <c r="M50" s="15"/>
      <c r="N50" s="15"/>
      <c r="O50" s="15"/>
      <c r="P50" s="15"/>
      <c r="Q50" s="15"/>
      <c r="R50" s="54"/>
      <c r="S50" s="178"/>
      <c r="T50" s="178" t="s">
        <v>177</v>
      </c>
      <c r="U50" s="45"/>
      <c r="V50" s="179">
        <f t="shared" ref="V50:BA50" si="3">V48-V49</f>
        <v>213174.2</v>
      </c>
      <c r="W50" s="179">
        <f t="shared" si="3"/>
        <v>443758.2</v>
      </c>
      <c r="X50" s="179">
        <f t="shared" si="3"/>
        <v>229443.63189562503</v>
      </c>
      <c r="Y50" s="179">
        <f t="shared" si="3"/>
        <v>232639.12156658771</v>
      </c>
      <c r="Z50" s="179">
        <f t="shared" si="3"/>
        <v>474267.16329089517</v>
      </c>
      <c r="AA50" s="179">
        <f t="shared" si="3"/>
        <v>335475.76301108254</v>
      </c>
      <c r="AB50" s="179">
        <f t="shared" si="3"/>
        <v>437959.00717002637</v>
      </c>
      <c r="AC50" s="179">
        <f t="shared" si="3"/>
        <v>301501.70492950676</v>
      </c>
      <c r="AD50" s="179">
        <f t="shared" si="3"/>
        <v>308429.46435675962</v>
      </c>
      <c r="AE50" s="179">
        <f t="shared" si="3"/>
        <v>528204.07878976699</v>
      </c>
      <c r="AF50" s="179">
        <f t="shared" si="3"/>
        <v>562125.3907179503</v>
      </c>
      <c r="AG50" s="179">
        <f t="shared" si="3"/>
        <v>467323.4467652677</v>
      </c>
      <c r="AH50" s="179">
        <f t="shared" si="3"/>
        <v>273570.08029072784</v>
      </c>
      <c r="AI50" s="179">
        <f t="shared" si="3"/>
        <v>280313.58276989433</v>
      </c>
      <c r="AJ50" s="179">
        <f t="shared" si="3"/>
        <v>643000.53698687884</v>
      </c>
      <c r="AK50" s="179">
        <f t="shared" si="3"/>
        <v>481832.53626243438</v>
      </c>
      <c r="AL50" s="179">
        <f t="shared" si="3"/>
        <v>564145.89310662344</v>
      </c>
      <c r="AM50" s="179">
        <f t="shared" si="3"/>
        <v>308991.34859310946</v>
      </c>
      <c r="AN50" s="179">
        <f t="shared" si="3"/>
        <v>165604.96505930988</v>
      </c>
      <c r="AO50" s="179">
        <f t="shared" si="3"/>
        <v>343472.09538666846</v>
      </c>
      <c r="AP50" s="179">
        <f t="shared" si="3"/>
        <v>258876.27846236451</v>
      </c>
      <c r="AQ50" s="179">
        <f t="shared" si="3"/>
        <v>1155882.7129630803</v>
      </c>
      <c r="AR50" s="179">
        <f t="shared" si="3"/>
        <v>369503.10544920119</v>
      </c>
      <c r="AS50" s="179">
        <f t="shared" si="3"/>
        <v>614969.89200338302</v>
      </c>
      <c r="AT50" s="179">
        <f t="shared" si="3"/>
        <v>776848.83046481933</v>
      </c>
      <c r="AU50" s="179">
        <f t="shared" si="3"/>
        <v>779848.89433902816</v>
      </c>
      <c r="AV50" s="179">
        <f t="shared" si="3"/>
        <v>890217.66534148518</v>
      </c>
      <c r="AW50" s="179">
        <f t="shared" si="3"/>
        <v>417345.57646346639</v>
      </c>
      <c r="AX50" s="179">
        <f t="shared" si="3"/>
        <v>211265.60479944412</v>
      </c>
      <c r="AY50" s="179">
        <f t="shared" si="3"/>
        <v>444253.02058535855</v>
      </c>
      <c r="AZ50" s="179">
        <f t="shared" si="3"/>
        <v>1017357.7835582652</v>
      </c>
      <c r="BA50" s="179">
        <f t="shared" si="3"/>
        <v>735022.83328788832</v>
      </c>
    </row>
    <row r="51" spans="1:53" ht="17.850000000000001" customHeight="1">
      <c r="A51" s="180"/>
      <c r="B51" s="127"/>
      <c r="C51" s="166"/>
      <c r="D51" s="166"/>
      <c r="E51" s="12"/>
      <c r="F51" s="56"/>
      <c r="G51" s="13"/>
      <c r="H51" s="160"/>
      <c r="I51" s="15"/>
      <c r="J51" s="15"/>
      <c r="K51" s="16"/>
      <c r="L51" s="45"/>
      <c r="M51" s="15"/>
      <c r="N51" s="15"/>
      <c r="O51" s="15"/>
      <c r="P51" s="15"/>
      <c r="Q51" s="15"/>
      <c r="R51" s="15"/>
      <c r="S51" s="15"/>
      <c r="T51" s="15"/>
      <c r="U51" s="15"/>
      <c r="V51" s="181"/>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row>
    <row r="52" spans="1:53" ht="31.15" customHeight="1">
      <c r="A52" s="182" t="s">
        <v>178</v>
      </c>
      <c r="B52" s="127"/>
      <c r="C52" s="166"/>
      <c r="D52" s="166"/>
      <c r="E52" s="12"/>
      <c r="F52" s="56"/>
      <c r="G52" s="13"/>
      <c r="H52" s="160"/>
      <c r="I52" s="15"/>
      <c r="J52" s="15"/>
      <c r="K52" s="16"/>
      <c r="L52" s="183"/>
      <c r="M52" s="15"/>
      <c r="N52" s="15"/>
      <c r="O52" s="15"/>
      <c r="P52" s="15"/>
      <c r="Q52" s="15"/>
      <c r="R52" s="45"/>
      <c r="S52" s="184"/>
      <c r="T52" s="184" t="s">
        <v>179</v>
      </c>
      <c r="U52" s="185">
        <v>130000</v>
      </c>
      <c r="V52" s="181">
        <v>130000</v>
      </c>
      <c r="W52" s="186">
        <v>180000</v>
      </c>
      <c r="X52" s="187">
        <f>W52</f>
        <v>180000</v>
      </c>
      <c r="Y52" s="188">
        <v>220000</v>
      </c>
      <c r="Z52" s="188">
        <v>230000</v>
      </c>
      <c r="AA52" s="188">
        <v>240000</v>
      </c>
      <c r="AB52" s="188">
        <v>250000</v>
      </c>
      <c r="AC52" s="187">
        <v>250000</v>
      </c>
      <c r="AD52" s="187">
        <f>AC52</f>
        <v>250000</v>
      </c>
      <c r="AE52" s="188">
        <v>270000</v>
      </c>
      <c r="AF52" s="187">
        <f>AE52</f>
        <v>270000</v>
      </c>
      <c r="AG52" s="187">
        <f>AF52</f>
        <v>270000</v>
      </c>
      <c r="AH52" s="188">
        <v>270000</v>
      </c>
      <c r="AI52" s="187">
        <f t="shared" ref="AI52:BA52" si="4">AH52</f>
        <v>270000</v>
      </c>
      <c r="AJ52" s="187">
        <f t="shared" si="4"/>
        <v>270000</v>
      </c>
      <c r="AK52" s="187">
        <f t="shared" si="4"/>
        <v>270000</v>
      </c>
      <c r="AL52" s="187">
        <f t="shared" si="4"/>
        <v>270000</v>
      </c>
      <c r="AM52" s="187">
        <f t="shared" si="4"/>
        <v>270000</v>
      </c>
      <c r="AN52" s="187">
        <f t="shared" si="4"/>
        <v>270000</v>
      </c>
      <c r="AO52" s="187">
        <f t="shared" si="4"/>
        <v>270000</v>
      </c>
      <c r="AP52" s="187">
        <f t="shared" si="4"/>
        <v>270000</v>
      </c>
      <c r="AQ52" s="187">
        <f t="shared" si="4"/>
        <v>270000</v>
      </c>
      <c r="AR52" s="187">
        <f t="shared" si="4"/>
        <v>270000</v>
      </c>
      <c r="AS52" s="187">
        <f t="shared" si="4"/>
        <v>270000</v>
      </c>
      <c r="AT52" s="187">
        <f t="shared" si="4"/>
        <v>270000</v>
      </c>
      <c r="AU52" s="187">
        <f t="shared" si="4"/>
        <v>270000</v>
      </c>
      <c r="AV52" s="187">
        <f t="shared" si="4"/>
        <v>270000</v>
      </c>
      <c r="AW52" s="187">
        <f t="shared" si="4"/>
        <v>270000</v>
      </c>
      <c r="AX52" s="187">
        <f t="shared" si="4"/>
        <v>270000</v>
      </c>
      <c r="AY52" s="187">
        <f t="shared" si="4"/>
        <v>270000</v>
      </c>
      <c r="AZ52" s="187">
        <f t="shared" si="4"/>
        <v>270000</v>
      </c>
      <c r="BA52" s="187">
        <f t="shared" si="4"/>
        <v>270000</v>
      </c>
    </row>
    <row r="53" spans="1:53" ht="17.850000000000001" customHeight="1">
      <c r="A53" s="23" t="s">
        <v>180</v>
      </c>
      <c r="B53" s="127"/>
      <c r="C53" s="166"/>
      <c r="D53" s="166"/>
      <c r="E53" s="12"/>
      <c r="F53" s="56"/>
      <c r="G53" s="13"/>
      <c r="H53" s="160"/>
      <c r="I53" s="15"/>
      <c r="J53" s="15"/>
      <c r="K53" s="16"/>
      <c r="L53" s="183"/>
      <c r="M53" s="15"/>
      <c r="N53" s="15"/>
      <c r="O53" s="15"/>
      <c r="P53" s="15"/>
      <c r="Q53" s="15"/>
      <c r="R53" s="45"/>
      <c r="S53" s="184"/>
      <c r="T53" s="184" t="s">
        <v>181</v>
      </c>
      <c r="U53" s="189" t="s">
        <v>138</v>
      </c>
      <c r="V53" s="181">
        <f t="shared" ref="V53:AF53" si="5">V50-V52</f>
        <v>83174.200000000012</v>
      </c>
      <c r="W53" s="15">
        <f t="shared" si="5"/>
        <v>263758.2</v>
      </c>
      <c r="X53" s="15">
        <f t="shared" si="5"/>
        <v>49443.631895625032</v>
      </c>
      <c r="Y53" s="15">
        <f t="shared" si="5"/>
        <v>12639.12156658771</v>
      </c>
      <c r="Z53" s="15">
        <f t="shared" si="5"/>
        <v>244267.16329089517</v>
      </c>
      <c r="AA53" s="15">
        <f t="shared" si="5"/>
        <v>95475.763011082541</v>
      </c>
      <c r="AB53" s="15">
        <f t="shared" si="5"/>
        <v>187959.00717002637</v>
      </c>
      <c r="AC53" s="15">
        <f t="shared" si="5"/>
        <v>51501.704929506755</v>
      </c>
      <c r="AD53" s="15">
        <f t="shared" si="5"/>
        <v>58429.464356759621</v>
      </c>
      <c r="AE53" s="15">
        <f t="shared" si="5"/>
        <v>258204.07878976699</v>
      </c>
      <c r="AF53" s="15">
        <f t="shared" si="5"/>
        <v>292125.3907179503</v>
      </c>
      <c r="AG53" s="15">
        <f>AG50-AH52</f>
        <v>197323.4467652677</v>
      </c>
      <c r="AH53" s="15">
        <f t="shared" ref="AH53:BA53" si="6">AH50-AH52</f>
        <v>3570.0802907278412</v>
      </c>
      <c r="AI53" s="15">
        <f t="shared" si="6"/>
        <v>10313.582769894332</v>
      </c>
      <c r="AJ53" s="15">
        <f t="shared" si="6"/>
        <v>373000.53698687884</v>
      </c>
      <c r="AK53" s="15">
        <f t="shared" si="6"/>
        <v>211832.53626243438</v>
      </c>
      <c r="AL53" s="34">
        <f t="shared" si="6"/>
        <v>294145.89310662344</v>
      </c>
      <c r="AM53" s="15">
        <f t="shared" si="6"/>
        <v>38991.348593109462</v>
      </c>
      <c r="AN53" s="15">
        <f t="shared" si="6"/>
        <v>-104395.03494069012</v>
      </c>
      <c r="AO53" s="15">
        <f t="shared" si="6"/>
        <v>73472.095386668458</v>
      </c>
      <c r="AP53" s="15">
        <f t="shared" si="6"/>
        <v>-11123.721537635487</v>
      </c>
      <c r="AQ53" s="15">
        <f t="shared" si="6"/>
        <v>885882.71296308027</v>
      </c>
      <c r="AR53" s="15">
        <f t="shared" si="6"/>
        <v>99503.10544920119</v>
      </c>
      <c r="AS53" s="15">
        <f t="shared" si="6"/>
        <v>344969.89200338302</v>
      </c>
      <c r="AT53" s="15">
        <f t="shared" si="6"/>
        <v>506848.83046481933</v>
      </c>
      <c r="AU53" s="15">
        <f t="shared" si="6"/>
        <v>509848.89433902816</v>
      </c>
      <c r="AV53" s="15">
        <f t="shared" si="6"/>
        <v>620217.66534148518</v>
      </c>
      <c r="AW53" s="15">
        <f t="shared" si="6"/>
        <v>147345.57646346639</v>
      </c>
      <c r="AX53" s="15">
        <f t="shared" si="6"/>
        <v>-58734.395200555882</v>
      </c>
      <c r="AY53" s="15">
        <f t="shared" si="6"/>
        <v>174253.02058535855</v>
      </c>
      <c r="AZ53" s="15">
        <f t="shared" si="6"/>
        <v>747357.78355826519</v>
      </c>
      <c r="BA53" s="15">
        <f t="shared" si="6"/>
        <v>465022.83328788832</v>
      </c>
    </row>
    <row r="54" spans="1:53" ht="17.850000000000001" customHeight="1">
      <c r="A54" s="126"/>
      <c r="B54" s="190"/>
      <c r="C54" s="191"/>
      <c r="D54" s="192"/>
      <c r="E54" s="12"/>
      <c r="F54" s="193"/>
      <c r="G54" s="194"/>
      <c r="H54" s="195"/>
      <c r="I54" s="15"/>
      <c r="J54" s="15"/>
      <c r="K54" s="16"/>
      <c r="L54" s="45"/>
      <c r="M54" s="15"/>
      <c r="N54" s="15"/>
      <c r="O54" s="15"/>
      <c r="P54" s="15"/>
      <c r="Q54" s="15"/>
      <c r="R54" s="15"/>
      <c r="S54" s="15"/>
      <c r="T54" s="15"/>
      <c r="U54" s="15"/>
      <c r="V54" s="196"/>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row>
    <row r="55" spans="1:53" ht="31.15" customHeight="1">
      <c r="A55" s="23" t="s">
        <v>182</v>
      </c>
      <c r="B55" s="127"/>
      <c r="C55" s="197"/>
      <c r="D55" s="197"/>
      <c r="E55" s="12"/>
      <c r="F55" s="198"/>
      <c r="G55" s="199"/>
      <c r="H55" s="200"/>
      <c r="I55" s="15"/>
      <c r="J55" s="15"/>
      <c r="K55" s="16"/>
      <c r="L55" s="183"/>
      <c r="M55" s="15"/>
      <c r="N55" s="15"/>
      <c r="O55" s="15"/>
      <c r="P55" s="15"/>
      <c r="Q55" s="15"/>
      <c r="R55" s="45"/>
      <c r="S55" s="201"/>
      <c r="T55" s="201" t="s">
        <v>182</v>
      </c>
      <c r="U55" s="45">
        <v>0</v>
      </c>
      <c r="V55" s="15">
        <f t="shared" ref="V55:BA55" si="7">U60</f>
        <v>108941</v>
      </c>
      <c r="W55" s="15">
        <f t="shared" si="7"/>
        <v>145766.79999999999</v>
      </c>
      <c r="X55" s="15">
        <f t="shared" si="7"/>
        <v>2008.5999999999767</v>
      </c>
      <c r="Y55" s="15">
        <f t="shared" si="7"/>
        <v>72564.968104374944</v>
      </c>
      <c r="Z55" s="15">
        <f t="shared" si="7"/>
        <v>189925.84653778723</v>
      </c>
      <c r="AA55" s="15">
        <f t="shared" si="7"/>
        <v>85658.683246892062</v>
      </c>
      <c r="AB55" s="15">
        <f t="shared" si="7"/>
        <v>130182.92023580952</v>
      </c>
      <c r="AC55" s="15">
        <f t="shared" si="7"/>
        <v>92223.913065783156</v>
      </c>
      <c r="AD55" s="15">
        <f t="shared" si="7"/>
        <v>190722.2081362764</v>
      </c>
      <c r="AE55" s="15">
        <f t="shared" si="7"/>
        <v>282292.74377951678</v>
      </c>
      <c r="AF55" s="15">
        <f t="shared" si="7"/>
        <v>194088.66498974978</v>
      </c>
      <c r="AG55" s="15">
        <f t="shared" si="7"/>
        <v>71963.274271799484</v>
      </c>
      <c r="AH55" s="15">
        <f t="shared" si="7"/>
        <v>54639.827506531787</v>
      </c>
      <c r="AI55" s="15">
        <f t="shared" si="7"/>
        <v>231069.74721580395</v>
      </c>
      <c r="AJ55" s="15">
        <f t="shared" si="7"/>
        <v>400756.16444590961</v>
      </c>
      <c r="AK55" s="15">
        <f t="shared" si="7"/>
        <v>207755.62745903083</v>
      </c>
      <c r="AL55" s="15">
        <f t="shared" si="7"/>
        <v>175923.09119659645</v>
      </c>
      <c r="AM55" s="15">
        <f t="shared" si="7"/>
        <v>61777.198089973012</v>
      </c>
      <c r="AN55" s="15">
        <f t="shared" si="7"/>
        <v>202785.84949686355</v>
      </c>
      <c r="AO55" s="15">
        <f t="shared" si="7"/>
        <v>487180.8844375537</v>
      </c>
      <c r="AP55" s="15">
        <f t="shared" si="7"/>
        <v>593708.78905088524</v>
      </c>
      <c r="AQ55" s="15">
        <f t="shared" si="7"/>
        <v>784832.51058852067</v>
      </c>
      <c r="AR55" s="15">
        <f t="shared" si="7"/>
        <v>78949.797625440406</v>
      </c>
      <c r="AS55" s="15">
        <f t="shared" si="7"/>
        <v>159446.69217623922</v>
      </c>
      <c r="AT55" s="15">
        <f t="shared" si="7"/>
        <v>-5523.199827143806</v>
      </c>
      <c r="AU55" s="15">
        <f t="shared" si="7"/>
        <v>-332372.03029196314</v>
      </c>
      <c r="AV55" s="15">
        <f t="shared" si="7"/>
        <v>-662220.9246309913</v>
      </c>
      <c r="AW55" s="15">
        <f t="shared" si="7"/>
        <v>-1102438.5899724765</v>
      </c>
      <c r="AX55" s="15">
        <f t="shared" si="7"/>
        <v>-1069784.166435943</v>
      </c>
      <c r="AY55" s="15">
        <f t="shared" si="7"/>
        <v>-831049.77123538707</v>
      </c>
      <c r="AZ55" s="15">
        <f t="shared" si="7"/>
        <v>-825302.79182074568</v>
      </c>
      <c r="BA55" s="15">
        <f t="shared" si="7"/>
        <v>-1392660.5753790108</v>
      </c>
    </row>
    <row r="56" spans="1:53" ht="17.850000000000001" customHeight="1">
      <c r="A56" s="202" t="s">
        <v>183</v>
      </c>
      <c r="B56" s="127"/>
      <c r="C56" s="166"/>
      <c r="D56" s="166"/>
      <c r="E56" s="12"/>
      <c r="F56" s="56"/>
      <c r="G56" s="13"/>
      <c r="H56" s="160"/>
      <c r="I56" s="15"/>
      <c r="J56" s="15"/>
      <c r="K56" s="16"/>
      <c r="L56" s="183"/>
      <c r="M56" s="15"/>
      <c r="N56" s="15"/>
      <c r="O56" s="15"/>
      <c r="P56" s="15"/>
      <c r="Q56" s="15"/>
      <c r="R56" s="45"/>
      <c r="S56" s="201"/>
      <c r="T56" s="201" t="s">
        <v>184</v>
      </c>
      <c r="U56" s="45">
        <v>120000</v>
      </c>
      <c r="V56" s="203">
        <v>120000</v>
      </c>
      <c r="W56" s="204">
        <v>120000</v>
      </c>
      <c r="X56" s="205">
        <f>W56</f>
        <v>120000</v>
      </c>
      <c r="Y56" s="206">
        <v>130000</v>
      </c>
      <c r="Z56" s="206">
        <v>140000</v>
      </c>
      <c r="AA56" s="205">
        <f>Z56</f>
        <v>140000</v>
      </c>
      <c r="AB56" s="206">
        <v>150000</v>
      </c>
      <c r="AC56" s="205">
        <f>AB56</f>
        <v>150000</v>
      </c>
      <c r="AD56" s="205">
        <f>AC56</f>
        <v>150000</v>
      </c>
      <c r="AE56" s="206">
        <v>170000</v>
      </c>
      <c r="AF56" s="205">
        <f>AE56</f>
        <v>170000</v>
      </c>
      <c r="AG56" s="205">
        <f>AF56</f>
        <v>170000</v>
      </c>
      <c r="AH56" s="206">
        <v>180000</v>
      </c>
      <c r="AI56" s="205">
        <f t="shared" ref="AI56:BA56" si="8">AH56</f>
        <v>180000</v>
      </c>
      <c r="AJ56" s="205">
        <f t="shared" si="8"/>
        <v>180000</v>
      </c>
      <c r="AK56" s="205">
        <f t="shared" si="8"/>
        <v>180000</v>
      </c>
      <c r="AL56" s="205">
        <f t="shared" si="8"/>
        <v>180000</v>
      </c>
      <c r="AM56" s="205">
        <f t="shared" si="8"/>
        <v>180000</v>
      </c>
      <c r="AN56" s="205">
        <f t="shared" si="8"/>
        <v>180000</v>
      </c>
      <c r="AO56" s="205">
        <f t="shared" si="8"/>
        <v>180000</v>
      </c>
      <c r="AP56" s="205">
        <f t="shared" si="8"/>
        <v>180000</v>
      </c>
      <c r="AQ56" s="205">
        <f t="shared" si="8"/>
        <v>180000</v>
      </c>
      <c r="AR56" s="205">
        <f t="shared" si="8"/>
        <v>180000</v>
      </c>
      <c r="AS56" s="205">
        <f t="shared" si="8"/>
        <v>180000</v>
      </c>
      <c r="AT56" s="205">
        <f t="shared" si="8"/>
        <v>180000</v>
      </c>
      <c r="AU56" s="205">
        <f t="shared" si="8"/>
        <v>180000</v>
      </c>
      <c r="AV56" s="205">
        <f t="shared" si="8"/>
        <v>180000</v>
      </c>
      <c r="AW56" s="205">
        <f t="shared" si="8"/>
        <v>180000</v>
      </c>
      <c r="AX56" s="205">
        <f t="shared" si="8"/>
        <v>180000</v>
      </c>
      <c r="AY56" s="205">
        <f t="shared" si="8"/>
        <v>180000</v>
      </c>
      <c r="AZ56" s="205">
        <f t="shared" si="8"/>
        <v>180000</v>
      </c>
      <c r="BA56" s="205">
        <f t="shared" si="8"/>
        <v>180000</v>
      </c>
    </row>
    <row r="57" spans="1:53" ht="17.850000000000001" customHeight="1">
      <c r="A57" s="23" t="s">
        <v>185</v>
      </c>
      <c r="B57" s="127"/>
      <c r="C57" s="166"/>
      <c r="D57" s="166"/>
      <c r="E57" s="12"/>
      <c r="F57" s="56"/>
      <c r="G57" s="13"/>
      <c r="H57" s="207"/>
      <c r="I57" s="15"/>
      <c r="J57" s="15"/>
      <c r="K57" s="16"/>
      <c r="L57" s="208"/>
      <c r="M57" s="15"/>
      <c r="N57" s="15"/>
      <c r="O57" s="15"/>
      <c r="P57" s="15"/>
      <c r="Q57" s="45"/>
      <c r="R57" s="45"/>
      <c r="S57" s="184"/>
      <c r="T57" s="184" t="s">
        <v>186</v>
      </c>
      <c r="U57" s="209">
        <f t="shared" ref="U57:AF57" si="9">U55+U56</f>
        <v>120000</v>
      </c>
      <c r="V57" s="203">
        <f t="shared" si="9"/>
        <v>228941</v>
      </c>
      <c r="W57" s="203">
        <f t="shared" si="9"/>
        <v>265766.8</v>
      </c>
      <c r="X57" s="203">
        <f t="shared" si="9"/>
        <v>122008.59999999998</v>
      </c>
      <c r="Y57" s="203">
        <f t="shared" si="9"/>
        <v>202564.96810437494</v>
      </c>
      <c r="Z57" s="203">
        <f t="shared" si="9"/>
        <v>329925.84653778723</v>
      </c>
      <c r="AA57" s="203">
        <f t="shared" si="9"/>
        <v>225658.68324689206</v>
      </c>
      <c r="AB57" s="203">
        <f t="shared" si="9"/>
        <v>280182.92023580952</v>
      </c>
      <c r="AC57" s="203">
        <f t="shared" si="9"/>
        <v>242223.91306578316</v>
      </c>
      <c r="AD57" s="203">
        <f t="shared" si="9"/>
        <v>340722.2081362764</v>
      </c>
      <c r="AE57" s="203">
        <f t="shared" si="9"/>
        <v>452292.74377951678</v>
      </c>
      <c r="AF57" s="203">
        <f t="shared" si="9"/>
        <v>364088.66498974978</v>
      </c>
      <c r="AG57" s="203">
        <f>AG55+AH56</f>
        <v>251963.27427179948</v>
      </c>
      <c r="AH57" s="203">
        <f t="shared" ref="AH57:BA57" si="10">AH55+AH56</f>
        <v>234639.82750653179</v>
      </c>
      <c r="AI57" s="203">
        <f t="shared" si="10"/>
        <v>411069.74721580395</v>
      </c>
      <c r="AJ57" s="203">
        <f t="shared" si="10"/>
        <v>580756.16444590967</v>
      </c>
      <c r="AK57" s="203">
        <f t="shared" si="10"/>
        <v>387755.62745903083</v>
      </c>
      <c r="AL57" s="203">
        <f t="shared" si="10"/>
        <v>355923.09119659645</v>
      </c>
      <c r="AM57" s="203">
        <f t="shared" si="10"/>
        <v>241777.19808997301</v>
      </c>
      <c r="AN57" s="203">
        <f t="shared" si="10"/>
        <v>382785.84949686355</v>
      </c>
      <c r="AO57" s="203">
        <f t="shared" si="10"/>
        <v>667180.8844375537</v>
      </c>
      <c r="AP57" s="203">
        <f t="shared" si="10"/>
        <v>773708.78905088524</v>
      </c>
      <c r="AQ57" s="203">
        <f t="shared" si="10"/>
        <v>964832.51058852067</v>
      </c>
      <c r="AR57" s="203">
        <f t="shared" si="10"/>
        <v>258949.79762544041</v>
      </c>
      <c r="AS57" s="203">
        <f t="shared" si="10"/>
        <v>339446.69217623922</v>
      </c>
      <c r="AT57" s="203">
        <f t="shared" si="10"/>
        <v>174476.80017285619</v>
      </c>
      <c r="AU57" s="203">
        <f t="shared" si="10"/>
        <v>-152372.03029196314</v>
      </c>
      <c r="AV57" s="203">
        <f t="shared" si="10"/>
        <v>-482220.9246309913</v>
      </c>
      <c r="AW57" s="203">
        <f t="shared" si="10"/>
        <v>-922438.58997247647</v>
      </c>
      <c r="AX57" s="203">
        <f t="shared" si="10"/>
        <v>-889784.16643594299</v>
      </c>
      <c r="AY57" s="203">
        <f t="shared" si="10"/>
        <v>-651049.77123538707</v>
      </c>
      <c r="AZ57" s="203">
        <f t="shared" si="10"/>
        <v>-645302.79182074568</v>
      </c>
      <c r="BA57" s="203">
        <f t="shared" si="10"/>
        <v>-1212660.5753790108</v>
      </c>
    </row>
    <row r="58" spans="1:53" ht="17.850000000000001" customHeight="1">
      <c r="A58" s="210"/>
      <c r="B58" s="127"/>
      <c r="C58" s="166"/>
      <c r="D58" s="166"/>
      <c r="E58" s="12"/>
      <c r="F58" s="56"/>
      <c r="G58" s="13"/>
      <c r="H58" s="167"/>
      <c r="I58" s="15"/>
      <c r="J58" s="15"/>
      <c r="K58" s="16"/>
      <c r="L58" s="211"/>
      <c r="M58" s="15"/>
      <c r="N58" s="15"/>
      <c r="O58" s="15"/>
      <c r="P58" s="15"/>
      <c r="Q58" s="15"/>
      <c r="R58" s="15"/>
      <c r="S58" s="212"/>
      <c r="T58" s="212"/>
      <c r="U58" s="15"/>
      <c r="V58" s="20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row>
    <row r="59" spans="1:53" ht="28.9" customHeight="1">
      <c r="A59" s="175" t="s">
        <v>187</v>
      </c>
      <c r="B59" s="127"/>
      <c r="C59" s="192"/>
      <c r="D59" s="192"/>
      <c r="E59" s="12"/>
      <c r="F59" s="193"/>
      <c r="G59" s="194"/>
      <c r="H59" s="214"/>
      <c r="I59" s="15"/>
      <c r="J59" s="15"/>
      <c r="K59" s="16"/>
      <c r="L59" s="215" t="s">
        <v>187</v>
      </c>
      <c r="M59" s="15"/>
      <c r="N59" s="15"/>
      <c r="O59" s="15"/>
      <c r="P59" s="15"/>
      <c r="Q59" s="15"/>
      <c r="R59" s="15"/>
      <c r="S59" s="31"/>
      <c r="T59" s="31"/>
      <c r="U59" s="45">
        <v>11059</v>
      </c>
      <c r="V59" s="15">
        <f t="shared" ref="V59:BA59" si="11">V53</f>
        <v>83174.200000000012</v>
      </c>
      <c r="W59" s="15">
        <f t="shared" si="11"/>
        <v>263758.2</v>
      </c>
      <c r="X59" s="15">
        <f t="shared" si="11"/>
        <v>49443.631895625032</v>
      </c>
      <c r="Y59" s="15">
        <f t="shared" si="11"/>
        <v>12639.12156658771</v>
      </c>
      <c r="Z59" s="15">
        <f t="shared" si="11"/>
        <v>244267.16329089517</v>
      </c>
      <c r="AA59" s="15">
        <f t="shared" si="11"/>
        <v>95475.763011082541</v>
      </c>
      <c r="AB59" s="15">
        <f t="shared" si="11"/>
        <v>187959.00717002637</v>
      </c>
      <c r="AC59" s="15">
        <f t="shared" si="11"/>
        <v>51501.704929506755</v>
      </c>
      <c r="AD59" s="15">
        <f t="shared" si="11"/>
        <v>58429.464356759621</v>
      </c>
      <c r="AE59" s="15">
        <f t="shared" si="11"/>
        <v>258204.07878976699</v>
      </c>
      <c r="AF59" s="15">
        <f t="shared" si="11"/>
        <v>292125.3907179503</v>
      </c>
      <c r="AG59" s="15">
        <f t="shared" si="11"/>
        <v>197323.4467652677</v>
      </c>
      <c r="AH59" s="15">
        <f t="shared" si="11"/>
        <v>3570.0802907278412</v>
      </c>
      <c r="AI59" s="15">
        <f t="shared" si="11"/>
        <v>10313.582769894332</v>
      </c>
      <c r="AJ59" s="15">
        <f t="shared" si="11"/>
        <v>373000.53698687884</v>
      </c>
      <c r="AK59" s="15">
        <f t="shared" si="11"/>
        <v>211832.53626243438</v>
      </c>
      <c r="AL59" s="34">
        <f t="shared" si="11"/>
        <v>294145.89310662344</v>
      </c>
      <c r="AM59" s="15">
        <f t="shared" si="11"/>
        <v>38991.348593109462</v>
      </c>
      <c r="AN59" s="15">
        <f t="shared" si="11"/>
        <v>-104395.03494069012</v>
      </c>
      <c r="AO59" s="15">
        <f t="shared" si="11"/>
        <v>73472.095386668458</v>
      </c>
      <c r="AP59" s="15">
        <f t="shared" si="11"/>
        <v>-11123.721537635487</v>
      </c>
      <c r="AQ59" s="15">
        <f t="shared" si="11"/>
        <v>885882.71296308027</v>
      </c>
      <c r="AR59" s="15">
        <f t="shared" si="11"/>
        <v>99503.10544920119</v>
      </c>
      <c r="AS59" s="15">
        <f t="shared" si="11"/>
        <v>344969.89200338302</v>
      </c>
      <c r="AT59" s="15">
        <f t="shared" si="11"/>
        <v>506848.83046481933</v>
      </c>
      <c r="AU59" s="15">
        <f t="shared" si="11"/>
        <v>509848.89433902816</v>
      </c>
      <c r="AV59" s="15">
        <f t="shared" si="11"/>
        <v>620217.66534148518</v>
      </c>
      <c r="AW59" s="15">
        <f t="shared" si="11"/>
        <v>147345.57646346639</v>
      </c>
      <c r="AX59" s="15">
        <f t="shared" si="11"/>
        <v>-58734.395200555882</v>
      </c>
      <c r="AY59" s="15">
        <f t="shared" si="11"/>
        <v>174253.02058535855</v>
      </c>
      <c r="AZ59" s="15">
        <f t="shared" si="11"/>
        <v>747357.78355826519</v>
      </c>
      <c r="BA59" s="15">
        <f t="shared" si="11"/>
        <v>465022.83328788832</v>
      </c>
    </row>
    <row r="60" spans="1:53" ht="31.15" customHeight="1">
      <c r="A60" s="23" t="s">
        <v>188</v>
      </c>
      <c r="B60" s="190"/>
      <c r="C60" s="216"/>
      <c r="D60" s="217"/>
      <c r="E60" s="12"/>
      <c r="F60" s="218"/>
      <c r="G60" s="219"/>
      <c r="H60" s="220"/>
      <c r="I60" s="221"/>
      <c r="J60" s="221"/>
      <c r="K60" s="222"/>
      <c r="L60" s="223" t="s">
        <v>188</v>
      </c>
      <c r="M60" s="15"/>
      <c r="N60" s="15"/>
      <c r="O60" s="15"/>
      <c r="P60" s="15"/>
      <c r="Q60" s="15"/>
      <c r="R60" s="15"/>
      <c r="S60" s="136"/>
      <c r="T60" s="136"/>
      <c r="U60" s="224">
        <v>108941</v>
      </c>
      <c r="V60" s="203">
        <f t="shared" ref="V60:BA60" si="12">V57-V59</f>
        <v>145766.79999999999</v>
      </c>
      <c r="W60" s="225">
        <f t="shared" si="12"/>
        <v>2008.5999999999767</v>
      </c>
      <c r="X60" s="203">
        <f t="shared" si="12"/>
        <v>72564.968104374944</v>
      </c>
      <c r="Y60" s="203">
        <f t="shared" si="12"/>
        <v>189925.84653778723</v>
      </c>
      <c r="Z60" s="203">
        <f t="shared" si="12"/>
        <v>85658.683246892062</v>
      </c>
      <c r="AA60" s="203">
        <f t="shared" si="12"/>
        <v>130182.92023580952</v>
      </c>
      <c r="AB60" s="203">
        <f t="shared" si="12"/>
        <v>92223.913065783156</v>
      </c>
      <c r="AC60" s="203">
        <f t="shared" si="12"/>
        <v>190722.2081362764</v>
      </c>
      <c r="AD60" s="203">
        <f t="shared" si="12"/>
        <v>282292.74377951678</v>
      </c>
      <c r="AE60" s="203">
        <f t="shared" si="12"/>
        <v>194088.66498974978</v>
      </c>
      <c r="AF60" s="203">
        <f t="shared" si="12"/>
        <v>71963.274271799484</v>
      </c>
      <c r="AG60" s="203">
        <f t="shared" si="12"/>
        <v>54639.827506531787</v>
      </c>
      <c r="AH60" s="203">
        <f t="shared" si="12"/>
        <v>231069.74721580395</v>
      </c>
      <c r="AI60" s="203">
        <f t="shared" si="12"/>
        <v>400756.16444590961</v>
      </c>
      <c r="AJ60" s="203">
        <f t="shared" si="12"/>
        <v>207755.62745903083</v>
      </c>
      <c r="AK60" s="203">
        <f t="shared" si="12"/>
        <v>175923.09119659645</v>
      </c>
      <c r="AL60" s="203">
        <f t="shared" si="12"/>
        <v>61777.198089973012</v>
      </c>
      <c r="AM60" s="203">
        <f t="shared" si="12"/>
        <v>202785.84949686355</v>
      </c>
      <c r="AN60" s="203">
        <f t="shared" si="12"/>
        <v>487180.8844375537</v>
      </c>
      <c r="AO60" s="203">
        <f t="shared" si="12"/>
        <v>593708.78905088524</v>
      </c>
      <c r="AP60" s="203">
        <f t="shared" si="12"/>
        <v>784832.51058852067</v>
      </c>
      <c r="AQ60" s="203">
        <f t="shared" si="12"/>
        <v>78949.797625440406</v>
      </c>
      <c r="AR60" s="203">
        <f t="shared" si="12"/>
        <v>159446.69217623922</v>
      </c>
      <c r="AS60" s="203">
        <f t="shared" si="12"/>
        <v>-5523.199827143806</v>
      </c>
      <c r="AT60" s="203">
        <f t="shared" si="12"/>
        <v>-332372.03029196314</v>
      </c>
      <c r="AU60" s="203">
        <f t="shared" si="12"/>
        <v>-662220.9246309913</v>
      </c>
      <c r="AV60" s="203">
        <f t="shared" si="12"/>
        <v>-1102438.5899724765</v>
      </c>
      <c r="AW60" s="203">
        <f t="shared" si="12"/>
        <v>-1069784.166435943</v>
      </c>
      <c r="AX60" s="203">
        <f t="shared" si="12"/>
        <v>-831049.77123538707</v>
      </c>
      <c r="AY60" s="203">
        <f t="shared" si="12"/>
        <v>-825302.79182074568</v>
      </c>
      <c r="AZ60" s="203">
        <f t="shared" si="12"/>
        <v>-1392660.5753790108</v>
      </c>
      <c r="BA60" s="203">
        <f t="shared" si="12"/>
        <v>-1677683.408666899</v>
      </c>
    </row>
    <row r="61" spans="1:53" ht="17.850000000000001" customHeight="1">
      <c r="A61" s="126"/>
      <c r="B61" s="190"/>
      <c r="C61" s="226"/>
      <c r="D61" s="227"/>
      <c r="E61" s="12"/>
      <c r="F61" s="228"/>
      <c r="G61" s="229"/>
      <c r="H61" s="230"/>
      <c r="I61" s="221"/>
      <c r="J61" s="221"/>
      <c r="K61" s="222"/>
      <c r="L61" s="231"/>
      <c r="M61" s="15"/>
      <c r="N61" s="15"/>
      <c r="O61" s="15"/>
      <c r="P61" s="15"/>
      <c r="Q61" s="15"/>
      <c r="R61" s="15"/>
      <c r="S61" s="54"/>
      <c r="T61" s="54"/>
      <c r="U61" s="81"/>
      <c r="V61" s="81"/>
      <c r="W61" s="81"/>
      <c r="X61" s="81"/>
      <c r="Y61" s="81"/>
      <c r="Z61" s="81"/>
      <c r="AA61" s="81"/>
      <c r="AB61" s="81"/>
      <c r="AC61" s="81"/>
      <c r="AD61" s="81"/>
      <c r="AE61" s="81"/>
      <c r="AF61" s="81"/>
      <c r="AG61" s="81"/>
      <c r="AH61" s="54"/>
      <c r="AI61" s="81"/>
      <c r="AJ61" s="81"/>
      <c r="AK61" s="81"/>
      <c r="AL61" s="81"/>
      <c r="AM61" s="81"/>
      <c r="AN61" s="81"/>
      <c r="AO61" s="81"/>
      <c r="AP61" s="81"/>
      <c r="AQ61" s="81"/>
      <c r="AR61" s="81"/>
      <c r="AS61" s="81"/>
      <c r="AT61" s="81"/>
      <c r="AU61" s="81"/>
      <c r="AV61" s="81"/>
      <c r="AW61" s="81"/>
      <c r="AX61" s="81"/>
      <c r="AY61" s="81"/>
      <c r="AZ61" s="81"/>
      <c r="BA61" s="81"/>
    </row>
    <row r="62" spans="1:53" ht="17.850000000000001" customHeight="1">
      <c r="A62" s="232"/>
      <c r="B62" s="233"/>
      <c r="C62" s="197"/>
      <c r="D62" s="197"/>
      <c r="E62" s="12"/>
      <c r="F62" s="234"/>
      <c r="G62" s="235"/>
      <c r="H62" s="236"/>
      <c r="I62" s="15"/>
      <c r="J62" s="15"/>
      <c r="K62" s="16"/>
      <c r="L62" s="237"/>
      <c r="M62" s="221"/>
      <c r="N62" s="221"/>
      <c r="O62" s="221"/>
      <c r="P62" s="221"/>
      <c r="Q62" s="221"/>
      <c r="R62" s="221"/>
      <c r="S62" s="238"/>
      <c r="T62" s="239"/>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row>
    <row r="63" spans="1:53" ht="17.850000000000001" customHeight="1">
      <c r="A63" s="232"/>
      <c r="B63" s="233"/>
      <c r="C63" s="166"/>
      <c r="D63" s="166"/>
      <c r="E63" s="12"/>
      <c r="F63" s="198"/>
      <c r="G63" s="199"/>
      <c r="H63" s="167"/>
      <c r="I63" s="15"/>
      <c r="J63" s="15"/>
      <c r="K63" s="16"/>
      <c r="L63" s="240"/>
      <c r="M63" s="221"/>
      <c r="N63" s="221"/>
      <c r="O63" s="221"/>
      <c r="P63" s="221"/>
      <c r="Q63" s="221"/>
      <c r="R63" s="221"/>
      <c r="S63" s="221"/>
      <c r="T63" s="241"/>
      <c r="U63" s="212"/>
      <c r="V63" s="212"/>
      <c r="W63" s="212"/>
      <c r="X63" s="212"/>
      <c r="Y63" s="212"/>
      <c r="Z63" s="212"/>
      <c r="AA63" s="212"/>
      <c r="AB63" s="212"/>
      <c r="AC63" s="212"/>
      <c r="AD63" s="212"/>
      <c r="AE63" s="212"/>
      <c r="AF63" s="212"/>
      <c r="AG63" s="212"/>
      <c r="AH63" s="15"/>
      <c r="AI63" s="212"/>
      <c r="AJ63" s="212"/>
      <c r="AK63" s="212"/>
      <c r="AL63" s="212"/>
      <c r="AM63" s="212"/>
      <c r="AN63" s="212"/>
      <c r="AO63" s="212"/>
      <c r="AP63" s="212"/>
      <c r="AQ63" s="212"/>
      <c r="AR63" s="212"/>
      <c r="AS63" s="212"/>
      <c r="AT63" s="212"/>
      <c r="AU63" s="212"/>
      <c r="AV63" s="212"/>
      <c r="AW63" s="212"/>
      <c r="AX63" s="212"/>
      <c r="AY63" s="212"/>
      <c r="AZ63" s="212"/>
      <c r="BA63" s="212"/>
    </row>
    <row r="64" spans="1:53" ht="17.850000000000001" hidden="1" customHeight="1">
      <c r="A64" s="242"/>
      <c r="B64" s="243"/>
      <c r="C64" s="166"/>
      <c r="D64" s="166"/>
      <c r="E64" s="12"/>
      <c r="F64" s="13"/>
      <c r="G64" s="13"/>
      <c r="H64" s="244"/>
      <c r="I64" s="15"/>
      <c r="J64" s="15"/>
      <c r="K64" s="16"/>
      <c r="L64" s="245"/>
      <c r="M64" s="15"/>
      <c r="N64" s="15"/>
      <c r="O64" s="15"/>
      <c r="P64" s="15"/>
      <c r="Q64" s="15"/>
      <c r="R64" s="15"/>
      <c r="S64" s="246"/>
      <c r="T64" s="246"/>
      <c r="U64" s="247"/>
      <c r="V64" s="247"/>
      <c r="W64" s="247"/>
      <c r="X64" s="247"/>
      <c r="Y64" s="247"/>
      <c r="Z64" s="247"/>
      <c r="AA64" s="247"/>
      <c r="AB64" s="247"/>
      <c r="AC64" s="247"/>
      <c r="AD64" s="247"/>
      <c r="AE64" s="247"/>
      <c r="AF64" s="247"/>
      <c r="AG64" s="247"/>
      <c r="AH64" s="247"/>
      <c r="AI64" s="247"/>
      <c r="AJ64" s="247"/>
      <c r="AK64" s="247"/>
      <c r="AL64" s="247"/>
      <c r="AM64" s="247"/>
      <c r="AN64" s="248"/>
      <c r="AO64" s="247"/>
      <c r="AP64" s="247"/>
      <c r="AQ64" s="247"/>
      <c r="AR64" s="247"/>
      <c r="AS64" s="247"/>
      <c r="AT64" s="247"/>
      <c r="AU64" s="247"/>
      <c r="AV64" s="247"/>
      <c r="AW64" s="247"/>
      <c r="AX64" s="247"/>
      <c r="AY64" s="247"/>
      <c r="AZ64" s="247"/>
      <c r="BA64" s="247"/>
    </row>
    <row r="65" spans="1:53" ht="17.850000000000001" hidden="1" customHeight="1">
      <c r="A65" s="249"/>
      <c r="B65" s="250"/>
      <c r="C65" s="251"/>
      <c r="D65" s="166"/>
      <c r="E65" s="12"/>
      <c r="F65" s="13"/>
      <c r="G65" s="13"/>
      <c r="H65" s="244"/>
      <c r="I65" s="15"/>
      <c r="J65" s="118"/>
      <c r="K65" s="120" t="s">
        <v>138</v>
      </c>
      <c r="L65" s="168"/>
      <c r="M65" s="252"/>
      <c r="N65" s="15"/>
      <c r="O65" s="15"/>
      <c r="P65" s="15"/>
      <c r="Q65" s="15"/>
      <c r="R65" s="15"/>
      <c r="S65" s="15"/>
      <c r="T65" s="15"/>
      <c r="U65" s="212"/>
      <c r="V65" s="212"/>
      <c r="W65" s="253" t="s">
        <v>189</v>
      </c>
      <c r="X65" s="254"/>
      <c r="Y65" s="212"/>
      <c r="Z65" s="212"/>
      <c r="AA65" s="212"/>
      <c r="AB65" s="212"/>
      <c r="AC65" s="212"/>
      <c r="AD65" s="212"/>
      <c r="AE65" s="212"/>
      <c r="AF65" s="212"/>
      <c r="AG65" s="212"/>
      <c r="AH65" s="212"/>
      <c r="AI65" s="212"/>
      <c r="AJ65" s="212"/>
      <c r="AK65" s="212"/>
      <c r="AL65" s="212"/>
      <c r="AM65" s="212"/>
      <c r="AN65" s="212"/>
      <c r="AO65" s="212"/>
      <c r="AP65" s="212"/>
      <c r="AQ65" s="212"/>
      <c r="AR65" s="254"/>
      <c r="AS65" s="212"/>
      <c r="AT65" s="212"/>
      <c r="AU65" s="212"/>
      <c r="AV65" s="212"/>
      <c r="AW65" s="212"/>
      <c r="AX65" s="212"/>
      <c r="AY65" s="212"/>
      <c r="AZ65" s="212"/>
      <c r="BA65" s="212"/>
    </row>
    <row r="66" spans="1:53" ht="17.850000000000001" hidden="1" customHeight="1">
      <c r="A66" s="249"/>
      <c r="B66" s="250"/>
      <c r="C66" s="251"/>
      <c r="D66" s="166"/>
      <c r="E66" s="12"/>
      <c r="F66" s="13"/>
      <c r="G66" s="13"/>
      <c r="H66" s="244"/>
      <c r="I66" s="15"/>
      <c r="J66" s="118"/>
      <c r="K66" s="120" t="s">
        <v>138</v>
      </c>
      <c r="L66" s="168"/>
      <c r="M66" s="252"/>
      <c r="N66" s="15"/>
      <c r="O66" s="15"/>
      <c r="P66" s="15"/>
      <c r="Q66" s="15"/>
      <c r="R66" s="15"/>
      <c r="S66" s="15"/>
      <c r="T66" s="15"/>
      <c r="U66" s="212"/>
      <c r="V66" s="212"/>
      <c r="W66" s="212"/>
      <c r="X66" s="212"/>
      <c r="Y66" s="212"/>
      <c r="Z66" s="212"/>
      <c r="AA66" s="212"/>
      <c r="AB66" s="254"/>
      <c r="AC66" s="212"/>
      <c r="AD66" s="212"/>
      <c r="AE66" s="212"/>
      <c r="AF66" s="212"/>
      <c r="AG66" s="212"/>
      <c r="AH66" s="212"/>
      <c r="AI66" s="212"/>
      <c r="AJ66" s="212"/>
      <c r="AK66" s="212"/>
      <c r="AL66" s="212"/>
      <c r="AM66" s="212"/>
      <c r="AN66" s="212"/>
      <c r="AO66" s="212"/>
      <c r="AP66" s="212"/>
      <c r="AQ66" s="212"/>
      <c r="AR66" s="212"/>
      <c r="AS66" s="212"/>
      <c r="AT66" s="212"/>
      <c r="AU66" s="212"/>
      <c r="AV66" s="254"/>
      <c r="AW66" s="212"/>
      <c r="AX66" s="212"/>
      <c r="AY66" s="212"/>
      <c r="AZ66" s="212"/>
      <c r="BA66" s="212"/>
    </row>
    <row r="67" spans="1:53" ht="17.850000000000001" hidden="1" customHeight="1">
      <c r="A67" s="242"/>
      <c r="B67" s="255"/>
      <c r="C67" s="256"/>
      <c r="D67" s="257"/>
      <c r="E67" s="258"/>
      <c r="F67" s="259"/>
      <c r="G67" s="13"/>
      <c r="H67" s="260"/>
      <c r="I67" s="221"/>
      <c r="J67" s="221"/>
      <c r="K67" s="222"/>
      <c r="L67" s="261"/>
      <c r="M67" s="15"/>
      <c r="N67" s="15"/>
      <c r="O67" s="15"/>
      <c r="P67" s="15"/>
      <c r="Q67" s="15"/>
      <c r="R67" s="54"/>
      <c r="S67" s="262"/>
      <c r="T67" s="262"/>
      <c r="U67" s="263" t="s">
        <v>182</v>
      </c>
      <c r="V67" s="15">
        <f>V55</f>
        <v>108941</v>
      </c>
      <c r="W67" s="15">
        <f>W55</f>
        <v>145766.79999999999</v>
      </c>
      <c r="X67" s="15">
        <f t="shared" ref="X67:BA67" si="13">W72</f>
        <v>2008.5999999999767</v>
      </c>
      <c r="Y67" s="15">
        <f t="shared" si="13"/>
        <v>72564.968104374944</v>
      </c>
      <c r="Z67" s="15">
        <f t="shared" si="13"/>
        <v>189925.84653778723</v>
      </c>
      <c r="AA67" s="15">
        <f t="shared" si="13"/>
        <v>85658.683246892062</v>
      </c>
      <c r="AB67" s="15">
        <f t="shared" si="13"/>
        <v>130182.92023580952</v>
      </c>
      <c r="AC67" s="15">
        <f t="shared" si="13"/>
        <v>92223.913065783156</v>
      </c>
      <c r="AD67" s="15">
        <f t="shared" si="13"/>
        <v>190722.2081362764</v>
      </c>
      <c r="AE67" s="15">
        <f t="shared" si="13"/>
        <v>282292.74377951672</v>
      </c>
      <c r="AF67" s="15">
        <f t="shared" si="13"/>
        <v>194088.66498974978</v>
      </c>
      <c r="AG67" s="15">
        <f t="shared" si="13"/>
        <v>71963.274271799484</v>
      </c>
      <c r="AH67" s="15">
        <f t="shared" si="13"/>
        <v>54639.827506531787</v>
      </c>
      <c r="AI67" s="15">
        <f t="shared" si="13"/>
        <v>231069.74721580395</v>
      </c>
      <c r="AJ67" s="15">
        <f t="shared" si="13"/>
        <v>400756.16444590961</v>
      </c>
      <c r="AK67" s="15">
        <f t="shared" si="13"/>
        <v>207755.62745903083</v>
      </c>
      <c r="AL67" s="15">
        <f t="shared" si="13"/>
        <v>175923.09119659645</v>
      </c>
      <c r="AM67" s="15">
        <f t="shared" si="13"/>
        <v>61777.198089972953</v>
      </c>
      <c r="AN67" s="15">
        <f t="shared" si="13"/>
        <v>202785.84949686349</v>
      </c>
      <c r="AO67" s="15">
        <f t="shared" si="13"/>
        <v>487180.8844375537</v>
      </c>
      <c r="AP67" s="15">
        <f t="shared" si="13"/>
        <v>593708.78905088524</v>
      </c>
      <c r="AQ67" s="15">
        <f t="shared" si="13"/>
        <v>784832.51058852067</v>
      </c>
      <c r="AR67" s="15">
        <f t="shared" si="13"/>
        <v>78949.797625440406</v>
      </c>
      <c r="AS67" s="15">
        <f t="shared" si="13"/>
        <v>159446.69217623922</v>
      </c>
      <c r="AT67" s="15">
        <f t="shared" si="13"/>
        <v>-5523.199827143806</v>
      </c>
      <c r="AU67" s="15">
        <f t="shared" si="13"/>
        <v>-332372.03029196314</v>
      </c>
      <c r="AV67" s="15">
        <f t="shared" si="13"/>
        <v>-662220.9246309913</v>
      </c>
      <c r="AW67" s="15">
        <f t="shared" si="13"/>
        <v>-1102438.5899724765</v>
      </c>
      <c r="AX67" s="15">
        <f t="shared" si="13"/>
        <v>-1069784.166435943</v>
      </c>
      <c r="AY67" s="15">
        <f t="shared" si="13"/>
        <v>-831049.77123538707</v>
      </c>
      <c r="AZ67" s="15">
        <f t="shared" si="13"/>
        <v>-825302.79182074568</v>
      </c>
      <c r="BA67" s="15">
        <f t="shared" si="13"/>
        <v>-1392660.5753790108</v>
      </c>
    </row>
    <row r="68" spans="1:53" ht="17.850000000000001" hidden="1" customHeight="1">
      <c r="A68" s="242"/>
      <c r="B68" s="255"/>
      <c r="C68" s="256"/>
      <c r="D68" s="257"/>
      <c r="E68" s="258"/>
      <c r="F68" s="259"/>
      <c r="G68" s="13"/>
      <c r="H68" s="260"/>
      <c r="I68" s="221"/>
      <c r="J68" s="221"/>
      <c r="K68" s="222"/>
      <c r="L68" s="264"/>
      <c r="M68" s="15"/>
      <c r="N68" s="15"/>
      <c r="O68" s="15"/>
      <c r="P68" s="15"/>
      <c r="Q68" s="54"/>
      <c r="R68" s="54"/>
      <c r="S68" s="262"/>
      <c r="T68" s="262"/>
      <c r="U68" s="263" t="s">
        <v>190</v>
      </c>
      <c r="V68" s="15">
        <f>V56</f>
        <v>120000</v>
      </c>
      <c r="W68" s="204">
        <f>W52+W56</f>
        <v>300000</v>
      </c>
      <c r="X68" s="265">
        <f t="shared" ref="X68:AF68" si="14">X56+X52</f>
        <v>300000</v>
      </c>
      <c r="Y68" s="265">
        <f t="shared" si="14"/>
        <v>350000</v>
      </c>
      <c r="Z68" s="265">
        <f t="shared" si="14"/>
        <v>370000</v>
      </c>
      <c r="AA68" s="265">
        <f t="shared" si="14"/>
        <v>380000</v>
      </c>
      <c r="AB68" s="265">
        <f t="shared" si="14"/>
        <v>400000</v>
      </c>
      <c r="AC68" s="265">
        <f t="shared" si="14"/>
        <v>400000</v>
      </c>
      <c r="AD68" s="265">
        <f t="shared" si="14"/>
        <v>400000</v>
      </c>
      <c r="AE68" s="265">
        <f t="shared" si="14"/>
        <v>440000</v>
      </c>
      <c r="AF68" s="265">
        <f t="shared" si="14"/>
        <v>440000</v>
      </c>
      <c r="AG68" s="265">
        <f>AH56+AH52</f>
        <v>450000</v>
      </c>
      <c r="AH68" s="265">
        <f t="shared" ref="AH68:BA68" si="15">AH56+AH52</f>
        <v>450000</v>
      </c>
      <c r="AI68" s="265">
        <f t="shared" si="15"/>
        <v>450000</v>
      </c>
      <c r="AJ68" s="265">
        <f t="shared" si="15"/>
        <v>450000</v>
      </c>
      <c r="AK68" s="265">
        <f t="shared" si="15"/>
        <v>450000</v>
      </c>
      <c r="AL68" s="265">
        <f t="shared" si="15"/>
        <v>450000</v>
      </c>
      <c r="AM68" s="265">
        <f t="shared" si="15"/>
        <v>450000</v>
      </c>
      <c r="AN68" s="265">
        <f t="shared" si="15"/>
        <v>450000</v>
      </c>
      <c r="AO68" s="265">
        <f t="shared" si="15"/>
        <v>450000</v>
      </c>
      <c r="AP68" s="265">
        <f t="shared" si="15"/>
        <v>450000</v>
      </c>
      <c r="AQ68" s="265">
        <f t="shared" si="15"/>
        <v>450000</v>
      </c>
      <c r="AR68" s="265">
        <f t="shared" si="15"/>
        <v>450000</v>
      </c>
      <c r="AS68" s="265">
        <f t="shared" si="15"/>
        <v>450000</v>
      </c>
      <c r="AT68" s="265">
        <f t="shared" si="15"/>
        <v>450000</v>
      </c>
      <c r="AU68" s="265">
        <f t="shared" si="15"/>
        <v>450000</v>
      </c>
      <c r="AV68" s="265">
        <f t="shared" si="15"/>
        <v>450000</v>
      </c>
      <c r="AW68" s="265">
        <f t="shared" si="15"/>
        <v>450000</v>
      </c>
      <c r="AX68" s="265">
        <f t="shared" si="15"/>
        <v>450000</v>
      </c>
      <c r="AY68" s="265">
        <f t="shared" si="15"/>
        <v>450000</v>
      </c>
      <c r="AZ68" s="265">
        <f t="shared" si="15"/>
        <v>450000</v>
      </c>
      <c r="BA68" s="265">
        <f t="shared" si="15"/>
        <v>450000</v>
      </c>
    </row>
    <row r="69" spans="1:53" ht="17.850000000000001" hidden="1" customHeight="1">
      <c r="A69" s="242"/>
      <c r="B69" s="266"/>
      <c r="C69" s="256"/>
      <c r="D69" s="257"/>
      <c r="E69" s="258"/>
      <c r="F69" s="259"/>
      <c r="G69" s="13"/>
      <c r="H69" s="260"/>
      <c r="I69" s="221"/>
      <c r="J69" s="221"/>
      <c r="K69" s="222"/>
      <c r="L69" s="264"/>
      <c r="M69" s="15"/>
      <c r="N69" s="15"/>
      <c r="O69" s="15"/>
      <c r="P69" s="54"/>
      <c r="Q69" s="54"/>
      <c r="R69" s="54"/>
      <c r="S69" s="262"/>
      <c r="T69" s="262"/>
      <c r="U69" s="267" t="s">
        <v>191</v>
      </c>
      <c r="V69" s="15">
        <f t="shared" ref="V69:BA69" si="16">V67+V68</f>
        <v>228941</v>
      </c>
      <c r="W69" s="15">
        <f t="shared" si="16"/>
        <v>445766.8</v>
      </c>
      <c r="X69" s="15">
        <f t="shared" si="16"/>
        <v>302008.59999999998</v>
      </c>
      <c r="Y69" s="15">
        <f t="shared" si="16"/>
        <v>422564.96810437494</v>
      </c>
      <c r="Z69" s="15">
        <f t="shared" si="16"/>
        <v>559925.84653778723</v>
      </c>
      <c r="AA69" s="15">
        <f t="shared" si="16"/>
        <v>465658.68324689206</v>
      </c>
      <c r="AB69" s="15">
        <f t="shared" si="16"/>
        <v>530182.92023580952</v>
      </c>
      <c r="AC69" s="15">
        <f t="shared" si="16"/>
        <v>492223.91306578316</v>
      </c>
      <c r="AD69" s="15">
        <f t="shared" si="16"/>
        <v>590722.20813627634</v>
      </c>
      <c r="AE69" s="15">
        <f t="shared" si="16"/>
        <v>722292.74377951678</v>
      </c>
      <c r="AF69" s="15">
        <f t="shared" si="16"/>
        <v>634088.66498974978</v>
      </c>
      <c r="AG69" s="15">
        <f t="shared" si="16"/>
        <v>521963.27427179948</v>
      </c>
      <c r="AH69" s="15">
        <f t="shared" si="16"/>
        <v>504639.82750653179</v>
      </c>
      <c r="AI69" s="15">
        <f t="shared" si="16"/>
        <v>681069.74721580395</v>
      </c>
      <c r="AJ69" s="15">
        <f t="shared" si="16"/>
        <v>850756.16444590967</v>
      </c>
      <c r="AK69" s="15">
        <f t="shared" si="16"/>
        <v>657755.62745903083</v>
      </c>
      <c r="AL69" s="15">
        <f t="shared" si="16"/>
        <v>625923.09119659639</v>
      </c>
      <c r="AM69" s="15">
        <f t="shared" si="16"/>
        <v>511777.19808997295</v>
      </c>
      <c r="AN69" s="15">
        <f t="shared" si="16"/>
        <v>652785.84949686355</v>
      </c>
      <c r="AO69" s="15">
        <f t="shared" si="16"/>
        <v>937180.8844375537</v>
      </c>
      <c r="AP69" s="15">
        <f t="shared" si="16"/>
        <v>1043708.7890508852</v>
      </c>
      <c r="AQ69" s="15">
        <f t="shared" si="16"/>
        <v>1234832.5105885207</v>
      </c>
      <c r="AR69" s="15">
        <f t="shared" si="16"/>
        <v>528949.79762544041</v>
      </c>
      <c r="AS69" s="15">
        <f t="shared" si="16"/>
        <v>609446.69217623922</v>
      </c>
      <c r="AT69" s="15">
        <f t="shared" si="16"/>
        <v>444476.80017285619</v>
      </c>
      <c r="AU69" s="15">
        <f t="shared" si="16"/>
        <v>117627.96970803686</v>
      </c>
      <c r="AV69" s="15">
        <f t="shared" si="16"/>
        <v>-212220.9246309913</v>
      </c>
      <c r="AW69" s="15">
        <f t="shared" si="16"/>
        <v>-652438.58997247647</v>
      </c>
      <c r="AX69" s="15">
        <f t="shared" si="16"/>
        <v>-619784.16643594299</v>
      </c>
      <c r="AY69" s="15">
        <f t="shared" si="16"/>
        <v>-381049.77123538707</v>
      </c>
      <c r="AZ69" s="15">
        <f t="shared" si="16"/>
        <v>-375302.79182074568</v>
      </c>
      <c r="BA69" s="15">
        <f t="shared" si="16"/>
        <v>-942660.57537901076</v>
      </c>
    </row>
    <row r="70" spans="1:53" ht="17.850000000000001" hidden="1" customHeight="1">
      <c r="A70" s="242"/>
      <c r="B70" s="268"/>
      <c r="C70" s="257"/>
      <c r="D70" s="257"/>
      <c r="E70" s="258"/>
      <c r="F70" s="259"/>
      <c r="G70" s="13"/>
      <c r="H70" s="260"/>
      <c r="I70" s="221"/>
      <c r="J70" s="221"/>
      <c r="K70" s="222"/>
      <c r="L70" s="261"/>
      <c r="M70" s="15"/>
      <c r="N70" s="15"/>
      <c r="O70" s="15"/>
      <c r="P70" s="15"/>
      <c r="Q70" s="15"/>
      <c r="R70" s="15"/>
      <c r="S70" s="269"/>
      <c r="T70" s="269"/>
      <c r="U70" s="212"/>
      <c r="V70" s="213"/>
      <c r="W70" s="15"/>
      <c r="X70" s="213"/>
      <c r="Y70" s="213"/>
      <c r="Z70" s="213"/>
      <c r="AA70" s="213"/>
      <c r="AB70" s="213"/>
      <c r="AC70" s="213"/>
      <c r="AD70" s="213"/>
      <c r="AE70" s="213"/>
      <c r="AF70" s="213"/>
      <c r="AG70" s="213"/>
      <c r="AH70" s="213"/>
      <c r="AI70" s="213"/>
      <c r="AJ70" s="213"/>
      <c r="AK70" s="213"/>
      <c r="AL70" s="213"/>
      <c r="AM70" s="213"/>
      <c r="AN70" s="213"/>
      <c r="AO70" s="213"/>
      <c r="AP70" s="213"/>
      <c r="AQ70" s="213"/>
      <c r="AR70" s="213"/>
      <c r="AS70" s="213"/>
      <c r="AT70" s="213"/>
      <c r="AU70" s="213"/>
      <c r="AV70" s="213"/>
      <c r="AW70" s="213"/>
      <c r="AX70" s="213"/>
      <c r="AY70" s="213"/>
      <c r="AZ70" s="213"/>
      <c r="BA70" s="213"/>
    </row>
    <row r="71" spans="1:53" ht="17.850000000000001" hidden="1" customHeight="1">
      <c r="A71" s="270"/>
      <c r="B71" s="271"/>
      <c r="C71" s="256"/>
      <c r="D71" s="257"/>
      <c r="E71" s="258"/>
      <c r="F71" s="259"/>
      <c r="G71" s="13"/>
      <c r="H71" s="260"/>
      <c r="I71" s="221"/>
      <c r="J71" s="221"/>
      <c r="K71" s="222"/>
      <c r="L71" s="261"/>
      <c r="M71" s="15"/>
      <c r="N71" s="15"/>
      <c r="O71" s="15"/>
      <c r="P71" s="15"/>
      <c r="Q71" s="15"/>
      <c r="R71" s="15"/>
      <c r="S71" s="215"/>
      <c r="T71" s="215" t="s">
        <v>187</v>
      </c>
      <c r="U71" s="31"/>
      <c r="V71" s="15">
        <f>V59</f>
        <v>83174.200000000012</v>
      </c>
      <c r="W71" s="15">
        <f t="shared" ref="W71:BA71" si="17">W50</f>
        <v>443758.2</v>
      </c>
      <c r="X71" s="15">
        <f t="shared" si="17"/>
        <v>229443.63189562503</v>
      </c>
      <c r="Y71" s="15">
        <f t="shared" si="17"/>
        <v>232639.12156658771</v>
      </c>
      <c r="Z71" s="15">
        <f t="shared" si="17"/>
        <v>474267.16329089517</v>
      </c>
      <c r="AA71" s="15">
        <f t="shared" si="17"/>
        <v>335475.76301108254</v>
      </c>
      <c r="AB71" s="15">
        <f t="shared" si="17"/>
        <v>437959.00717002637</v>
      </c>
      <c r="AC71" s="15">
        <f t="shared" si="17"/>
        <v>301501.70492950676</v>
      </c>
      <c r="AD71" s="15">
        <f t="shared" si="17"/>
        <v>308429.46435675962</v>
      </c>
      <c r="AE71" s="15">
        <f t="shared" si="17"/>
        <v>528204.07878976699</v>
      </c>
      <c r="AF71" s="15">
        <f t="shared" si="17"/>
        <v>562125.3907179503</v>
      </c>
      <c r="AG71" s="15">
        <f t="shared" si="17"/>
        <v>467323.4467652677</v>
      </c>
      <c r="AH71" s="15">
        <f t="shared" si="17"/>
        <v>273570.08029072784</v>
      </c>
      <c r="AI71" s="15">
        <f t="shared" si="17"/>
        <v>280313.58276989433</v>
      </c>
      <c r="AJ71" s="15">
        <f t="shared" si="17"/>
        <v>643000.53698687884</v>
      </c>
      <c r="AK71" s="15">
        <f t="shared" si="17"/>
        <v>481832.53626243438</v>
      </c>
      <c r="AL71" s="15">
        <f t="shared" si="17"/>
        <v>564145.89310662344</v>
      </c>
      <c r="AM71" s="15">
        <f t="shared" si="17"/>
        <v>308991.34859310946</v>
      </c>
      <c r="AN71" s="15">
        <f t="shared" si="17"/>
        <v>165604.96505930988</v>
      </c>
      <c r="AO71" s="15">
        <f t="shared" si="17"/>
        <v>343472.09538666846</v>
      </c>
      <c r="AP71" s="15">
        <f t="shared" si="17"/>
        <v>258876.27846236451</v>
      </c>
      <c r="AQ71" s="15">
        <f t="shared" si="17"/>
        <v>1155882.7129630803</v>
      </c>
      <c r="AR71" s="15">
        <f t="shared" si="17"/>
        <v>369503.10544920119</v>
      </c>
      <c r="AS71" s="15">
        <f t="shared" si="17"/>
        <v>614969.89200338302</v>
      </c>
      <c r="AT71" s="15">
        <f t="shared" si="17"/>
        <v>776848.83046481933</v>
      </c>
      <c r="AU71" s="15">
        <f t="shared" si="17"/>
        <v>779848.89433902816</v>
      </c>
      <c r="AV71" s="15">
        <f t="shared" si="17"/>
        <v>890217.66534148518</v>
      </c>
      <c r="AW71" s="15">
        <f t="shared" si="17"/>
        <v>417345.57646346639</v>
      </c>
      <c r="AX71" s="15">
        <f t="shared" si="17"/>
        <v>211265.60479944412</v>
      </c>
      <c r="AY71" s="15">
        <f t="shared" si="17"/>
        <v>444253.02058535855</v>
      </c>
      <c r="AZ71" s="15">
        <f t="shared" si="17"/>
        <v>1017357.7835582652</v>
      </c>
      <c r="BA71" s="15">
        <f t="shared" si="17"/>
        <v>735022.83328788832</v>
      </c>
    </row>
    <row r="72" spans="1:53" ht="17.850000000000001" hidden="1" customHeight="1">
      <c r="A72" s="242"/>
      <c r="B72" s="242"/>
      <c r="C72" s="256"/>
      <c r="D72" s="257"/>
      <c r="E72" s="258"/>
      <c r="F72" s="259"/>
      <c r="G72" s="13"/>
      <c r="H72" s="260"/>
      <c r="I72" s="221"/>
      <c r="J72" s="221"/>
      <c r="K72" s="222"/>
      <c r="L72" s="261"/>
      <c r="M72" s="15"/>
      <c r="N72" s="15"/>
      <c r="O72" s="15"/>
      <c r="P72" s="15"/>
      <c r="Q72" s="15"/>
      <c r="R72" s="15"/>
      <c r="S72" s="272"/>
      <c r="T72" s="272" t="s">
        <v>188</v>
      </c>
      <c r="U72" s="136"/>
      <c r="V72" s="15">
        <f>V60</f>
        <v>145766.79999999999</v>
      </c>
      <c r="W72" s="203">
        <f t="shared" ref="W72:BA72" si="18">W69-W71</f>
        <v>2008.5999999999767</v>
      </c>
      <c r="X72" s="203">
        <f t="shared" si="18"/>
        <v>72564.968104374944</v>
      </c>
      <c r="Y72" s="203">
        <f t="shared" si="18"/>
        <v>189925.84653778723</v>
      </c>
      <c r="Z72" s="203">
        <f t="shared" si="18"/>
        <v>85658.683246892062</v>
      </c>
      <c r="AA72" s="203">
        <f t="shared" si="18"/>
        <v>130182.92023580952</v>
      </c>
      <c r="AB72" s="203">
        <f t="shared" si="18"/>
        <v>92223.913065783156</v>
      </c>
      <c r="AC72" s="203">
        <f t="shared" si="18"/>
        <v>190722.2081362764</v>
      </c>
      <c r="AD72" s="203">
        <f t="shared" si="18"/>
        <v>282292.74377951672</v>
      </c>
      <c r="AE72" s="203">
        <f t="shared" si="18"/>
        <v>194088.66498974978</v>
      </c>
      <c r="AF72" s="203">
        <f t="shared" si="18"/>
        <v>71963.274271799484</v>
      </c>
      <c r="AG72" s="203">
        <f t="shared" si="18"/>
        <v>54639.827506531787</v>
      </c>
      <c r="AH72" s="203">
        <f t="shared" si="18"/>
        <v>231069.74721580395</v>
      </c>
      <c r="AI72" s="203">
        <f t="shared" si="18"/>
        <v>400756.16444590961</v>
      </c>
      <c r="AJ72" s="203">
        <f t="shared" si="18"/>
        <v>207755.62745903083</v>
      </c>
      <c r="AK72" s="203">
        <f t="shared" si="18"/>
        <v>175923.09119659645</v>
      </c>
      <c r="AL72" s="203">
        <f t="shared" si="18"/>
        <v>61777.198089972953</v>
      </c>
      <c r="AM72" s="203">
        <f t="shared" si="18"/>
        <v>202785.84949686349</v>
      </c>
      <c r="AN72" s="203">
        <f t="shared" si="18"/>
        <v>487180.8844375537</v>
      </c>
      <c r="AO72" s="203">
        <f t="shared" si="18"/>
        <v>593708.78905088524</v>
      </c>
      <c r="AP72" s="203">
        <f t="shared" si="18"/>
        <v>784832.51058852067</v>
      </c>
      <c r="AQ72" s="203">
        <f t="shared" si="18"/>
        <v>78949.797625440406</v>
      </c>
      <c r="AR72" s="203">
        <f t="shared" si="18"/>
        <v>159446.69217623922</v>
      </c>
      <c r="AS72" s="203">
        <f t="shared" si="18"/>
        <v>-5523.199827143806</v>
      </c>
      <c r="AT72" s="203">
        <f t="shared" si="18"/>
        <v>-332372.03029196314</v>
      </c>
      <c r="AU72" s="203">
        <f t="shared" si="18"/>
        <v>-662220.9246309913</v>
      </c>
      <c r="AV72" s="203">
        <f t="shared" si="18"/>
        <v>-1102438.5899724765</v>
      </c>
      <c r="AW72" s="203">
        <f t="shared" si="18"/>
        <v>-1069784.166435943</v>
      </c>
      <c r="AX72" s="203">
        <f t="shared" si="18"/>
        <v>-831049.77123538707</v>
      </c>
      <c r="AY72" s="203">
        <f t="shared" si="18"/>
        <v>-825302.79182074568</v>
      </c>
      <c r="AZ72" s="203">
        <f t="shared" si="18"/>
        <v>-1392660.5753790108</v>
      </c>
      <c r="BA72" s="203">
        <f t="shared" si="18"/>
        <v>-1677683.408666899</v>
      </c>
    </row>
    <row r="73" spans="1:53" ht="17.850000000000001" hidden="1" customHeight="1">
      <c r="A73" s="242"/>
      <c r="B73" s="268"/>
      <c r="C73" s="257"/>
      <c r="D73" s="257"/>
      <c r="E73" s="258"/>
      <c r="F73" s="259"/>
      <c r="G73" s="13"/>
      <c r="H73" s="260"/>
      <c r="I73" s="221"/>
      <c r="J73" s="221"/>
      <c r="K73" s="222"/>
      <c r="L73" s="261"/>
      <c r="M73" s="15"/>
      <c r="N73" s="15"/>
      <c r="O73" s="15"/>
      <c r="P73" s="15"/>
      <c r="Q73" s="15"/>
      <c r="R73" s="15"/>
      <c r="S73" s="273"/>
      <c r="T73" s="273"/>
      <c r="U73" s="274"/>
      <c r="V73" s="213"/>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row>
    <row r="74" spans="1:53" ht="17.850000000000001" hidden="1" customHeight="1">
      <c r="A74" s="242"/>
      <c r="B74" s="268"/>
      <c r="C74" s="257"/>
      <c r="D74" s="257"/>
      <c r="E74" s="258"/>
      <c r="F74" s="259"/>
      <c r="G74" s="13"/>
      <c r="H74" s="260"/>
      <c r="I74" s="221"/>
      <c r="J74" s="221"/>
      <c r="K74" s="222"/>
      <c r="L74" s="261"/>
      <c r="M74" s="15"/>
      <c r="N74" s="15"/>
      <c r="O74" s="15"/>
      <c r="P74" s="15"/>
      <c r="Q74" s="15"/>
      <c r="R74" s="15"/>
      <c r="S74" s="273"/>
      <c r="T74" s="273"/>
      <c r="U74" s="274"/>
      <c r="V74" s="212"/>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row>
    <row r="75" spans="1:53" ht="17.850000000000001" hidden="1" customHeight="1">
      <c r="A75" s="242"/>
      <c r="B75" s="275"/>
      <c r="C75" s="166"/>
      <c r="D75" s="166"/>
      <c r="E75" s="12"/>
      <c r="F75" s="56"/>
      <c r="G75" s="13"/>
      <c r="H75" s="244"/>
      <c r="I75" s="15"/>
      <c r="J75" s="15"/>
      <c r="K75" s="16"/>
      <c r="L75" s="167"/>
      <c r="M75" s="15"/>
      <c r="N75" s="15"/>
      <c r="O75" s="15"/>
      <c r="P75" s="15"/>
      <c r="Q75" s="15"/>
      <c r="R75" s="15"/>
      <c r="S75" s="168"/>
      <c r="T75" s="168"/>
      <c r="U75" s="276"/>
      <c r="V75" s="213"/>
      <c r="W75" s="15"/>
      <c r="X75" s="15"/>
      <c r="Y75" s="15"/>
      <c r="Z75" s="15"/>
      <c r="AA75" s="15"/>
      <c r="AB75" s="253" t="s">
        <v>192</v>
      </c>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row>
    <row r="76" spans="1:53" ht="17.850000000000001" hidden="1" customHeight="1">
      <c r="A76" s="242"/>
      <c r="B76" s="268"/>
      <c r="C76" s="257"/>
      <c r="D76" s="257"/>
      <c r="E76" s="258"/>
      <c r="F76" s="259"/>
      <c r="G76" s="13"/>
      <c r="H76" s="260"/>
      <c r="I76" s="221"/>
      <c r="J76" s="221"/>
      <c r="K76" s="222"/>
      <c r="L76" s="261"/>
      <c r="M76" s="15"/>
      <c r="N76" s="15"/>
      <c r="O76" s="15"/>
      <c r="P76" s="15"/>
      <c r="Q76" s="15"/>
      <c r="R76" s="15"/>
      <c r="S76" s="273"/>
      <c r="T76" s="273"/>
      <c r="U76" s="274"/>
      <c r="V76" s="212"/>
      <c r="W76" s="15"/>
      <c r="X76" s="15"/>
      <c r="Y76" s="277"/>
      <c r="Z76" s="15"/>
      <c r="AA76" s="15"/>
      <c r="AB76" s="277"/>
      <c r="AC76" s="15"/>
      <c r="AD76" s="277"/>
      <c r="AE76" s="15"/>
      <c r="AF76" s="15"/>
      <c r="AG76" s="15"/>
      <c r="AH76" s="213"/>
      <c r="AI76" s="15"/>
      <c r="AJ76" s="15"/>
      <c r="AK76" s="15"/>
      <c r="AL76" s="15"/>
      <c r="AM76" s="15"/>
      <c r="AN76" s="212">
        <f>AN63</f>
        <v>0</v>
      </c>
      <c r="AO76" s="15"/>
      <c r="AP76" s="15"/>
      <c r="AQ76" s="15"/>
      <c r="AR76" s="15"/>
      <c r="AS76" s="15"/>
      <c r="AT76" s="212">
        <f>AT63</f>
        <v>0</v>
      </c>
      <c r="AU76" s="15"/>
      <c r="AV76" s="15"/>
      <c r="AW76" s="15"/>
      <c r="AX76" s="15"/>
      <c r="AY76" s="15"/>
      <c r="AZ76" s="277"/>
      <c r="BA76" s="35"/>
    </row>
    <row r="77" spans="1:53" ht="17.850000000000001" hidden="1" customHeight="1">
      <c r="A77" s="242"/>
      <c r="B77" s="255"/>
      <c r="C77" s="256"/>
      <c r="D77" s="278"/>
      <c r="E77" s="12"/>
      <c r="F77" s="56"/>
      <c r="G77" s="13"/>
      <c r="H77" s="260"/>
      <c r="I77" s="221"/>
      <c r="J77" s="221"/>
      <c r="K77" s="222"/>
      <c r="L77" s="261"/>
      <c r="M77" s="15"/>
      <c r="N77" s="15"/>
      <c r="O77" s="15"/>
      <c r="P77" s="15"/>
      <c r="Q77" s="15"/>
      <c r="R77" s="15"/>
      <c r="S77" s="262"/>
      <c r="T77" s="262"/>
      <c r="U77" s="178" t="s">
        <v>182</v>
      </c>
      <c r="V77" s="212"/>
      <c r="W77" s="15">
        <f t="shared" ref="W77:AB77" si="19">V72</f>
        <v>145766.79999999999</v>
      </c>
      <c r="X77" s="15">
        <f t="shared" si="19"/>
        <v>2008.5999999999767</v>
      </c>
      <c r="Y77" s="15">
        <f t="shared" si="19"/>
        <v>72564.968104374944</v>
      </c>
      <c r="Z77" s="15">
        <f t="shared" si="19"/>
        <v>189925.84653778723</v>
      </c>
      <c r="AA77" s="15">
        <f t="shared" si="19"/>
        <v>85658.683246892062</v>
      </c>
      <c r="AB77" s="15">
        <f t="shared" si="19"/>
        <v>130182.92023580952</v>
      </c>
      <c r="AC77" s="15">
        <f t="shared" ref="AC77:BA77" si="20">AB82</f>
        <v>32223.913065783156</v>
      </c>
      <c r="AD77" s="15">
        <f t="shared" si="20"/>
        <v>70722.2081362764</v>
      </c>
      <c r="AE77" s="15">
        <f t="shared" si="20"/>
        <v>102292.74377951678</v>
      </c>
      <c r="AF77" s="15">
        <f t="shared" si="20"/>
        <v>-85911.335010250215</v>
      </c>
      <c r="AG77" s="15">
        <f t="shared" si="20"/>
        <v>-308036.72572820052</v>
      </c>
      <c r="AH77" s="15">
        <f t="shared" si="20"/>
        <v>-435360.17249346821</v>
      </c>
      <c r="AI77" s="15">
        <f t="shared" si="20"/>
        <v>-368930.25278419605</v>
      </c>
      <c r="AJ77" s="15">
        <f t="shared" si="20"/>
        <v>-309243.83555409039</v>
      </c>
      <c r="AK77" s="15">
        <f t="shared" si="20"/>
        <v>-612244.37254096917</v>
      </c>
      <c r="AL77" s="15">
        <f t="shared" si="20"/>
        <v>-754076.90880340361</v>
      </c>
      <c r="AM77" s="15">
        <f t="shared" si="20"/>
        <v>-978222.80191002705</v>
      </c>
      <c r="AN77" s="15">
        <f t="shared" si="20"/>
        <v>-947214.15050313645</v>
      </c>
      <c r="AO77" s="15">
        <f t="shared" si="20"/>
        <v>-772819.1155624463</v>
      </c>
      <c r="AP77" s="15">
        <f t="shared" si="20"/>
        <v>-776291.21094911476</v>
      </c>
      <c r="AQ77" s="15">
        <f t="shared" si="20"/>
        <v>-695167.48941147933</v>
      </c>
      <c r="AR77" s="15">
        <f t="shared" si="20"/>
        <v>-1511050.2023745596</v>
      </c>
      <c r="AS77" s="15">
        <f t="shared" si="20"/>
        <v>-1540553.3078237609</v>
      </c>
      <c r="AT77" s="15">
        <f t="shared" si="20"/>
        <v>-1815523.1998271439</v>
      </c>
      <c r="AU77" s="15">
        <f t="shared" si="20"/>
        <v>-2252372.0302919634</v>
      </c>
      <c r="AV77" s="15">
        <f t="shared" si="20"/>
        <v>-2692220.9246309916</v>
      </c>
      <c r="AW77" s="15">
        <f t="shared" si="20"/>
        <v>-3242438.5899724769</v>
      </c>
      <c r="AX77" s="15">
        <f t="shared" si="20"/>
        <v>-3319784.1664359435</v>
      </c>
      <c r="AY77" s="15">
        <f t="shared" si="20"/>
        <v>-3191049.7712353878</v>
      </c>
      <c r="AZ77" s="15">
        <f t="shared" si="20"/>
        <v>-3295302.7918207464</v>
      </c>
      <c r="BA77" s="15">
        <f t="shared" si="20"/>
        <v>-3972660.5753790117</v>
      </c>
    </row>
    <row r="78" spans="1:53" ht="17.850000000000001" hidden="1" customHeight="1">
      <c r="A78" s="242"/>
      <c r="B78" s="255"/>
      <c r="C78" s="256"/>
      <c r="D78" s="278"/>
      <c r="E78" s="12"/>
      <c r="F78" s="56"/>
      <c r="G78" s="13"/>
      <c r="H78" s="260"/>
      <c r="I78" s="221"/>
      <c r="J78" s="221"/>
      <c r="K78" s="222"/>
      <c r="L78" s="261"/>
      <c r="M78" s="15"/>
      <c r="N78" s="15"/>
      <c r="O78" s="15"/>
      <c r="P78" s="15"/>
      <c r="Q78" s="15"/>
      <c r="R78" s="15"/>
      <c r="S78" s="262"/>
      <c r="T78" s="262"/>
      <c r="U78" s="178" t="s">
        <v>184</v>
      </c>
      <c r="V78" s="212"/>
      <c r="W78" s="204">
        <v>300000</v>
      </c>
      <c r="X78" s="205">
        <f>W78</f>
        <v>300000</v>
      </c>
      <c r="Y78" s="205">
        <f>X78</f>
        <v>300000</v>
      </c>
      <c r="Z78" s="205">
        <f>Y78</f>
        <v>300000</v>
      </c>
      <c r="AA78" s="205">
        <f>Z78</f>
        <v>300000</v>
      </c>
      <c r="AB78" s="204">
        <v>340000</v>
      </c>
      <c r="AC78" s="265">
        <f t="shared" ref="AC78:BA78" si="21">AB78</f>
        <v>340000</v>
      </c>
      <c r="AD78" s="265">
        <f t="shared" si="21"/>
        <v>340000</v>
      </c>
      <c r="AE78" s="265">
        <f t="shared" si="21"/>
        <v>340000</v>
      </c>
      <c r="AF78" s="265">
        <f t="shared" si="21"/>
        <v>340000</v>
      </c>
      <c r="AG78" s="265">
        <f t="shared" si="21"/>
        <v>340000</v>
      </c>
      <c r="AH78" s="265">
        <f t="shared" si="21"/>
        <v>340000</v>
      </c>
      <c r="AI78" s="265">
        <f t="shared" si="21"/>
        <v>340000</v>
      </c>
      <c r="AJ78" s="265">
        <f t="shared" si="21"/>
        <v>340000</v>
      </c>
      <c r="AK78" s="265">
        <f t="shared" si="21"/>
        <v>340000</v>
      </c>
      <c r="AL78" s="265">
        <f t="shared" si="21"/>
        <v>340000</v>
      </c>
      <c r="AM78" s="265">
        <f t="shared" si="21"/>
        <v>340000</v>
      </c>
      <c r="AN78" s="265">
        <f t="shared" si="21"/>
        <v>340000</v>
      </c>
      <c r="AO78" s="265">
        <f t="shared" si="21"/>
        <v>340000</v>
      </c>
      <c r="AP78" s="265">
        <f t="shared" si="21"/>
        <v>340000</v>
      </c>
      <c r="AQ78" s="265">
        <f t="shared" si="21"/>
        <v>340000</v>
      </c>
      <c r="AR78" s="265">
        <f t="shared" si="21"/>
        <v>340000</v>
      </c>
      <c r="AS78" s="265">
        <f t="shared" si="21"/>
        <v>340000</v>
      </c>
      <c r="AT78" s="265">
        <f t="shared" si="21"/>
        <v>340000</v>
      </c>
      <c r="AU78" s="265">
        <f t="shared" si="21"/>
        <v>340000</v>
      </c>
      <c r="AV78" s="265">
        <f t="shared" si="21"/>
        <v>340000</v>
      </c>
      <c r="AW78" s="265">
        <f t="shared" si="21"/>
        <v>340000</v>
      </c>
      <c r="AX78" s="265">
        <f t="shared" si="21"/>
        <v>340000</v>
      </c>
      <c r="AY78" s="265">
        <f t="shared" si="21"/>
        <v>340000</v>
      </c>
      <c r="AZ78" s="265">
        <f t="shared" si="21"/>
        <v>340000</v>
      </c>
      <c r="BA78" s="265">
        <f t="shared" si="21"/>
        <v>340000</v>
      </c>
    </row>
    <row r="79" spans="1:53" ht="17.850000000000001" hidden="1" customHeight="1">
      <c r="A79" s="242"/>
      <c r="B79" s="266"/>
      <c r="C79" s="256"/>
      <c r="D79" s="278"/>
      <c r="E79" s="12"/>
      <c r="F79" s="56"/>
      <c r="G79" s="13"/>
      <c r="H79" s="260"/>
      <c r="I79" s="221"/>
      <c r="J79" s="221"/>
      <c r="K79" s="222"/>
      <c r="L79" s="264"/>
      <c r="M79" s="15"/>
      <c r="N79" s="15"/>
      <c r="O79" s="15"/>
      <c r="P79" s="15"/>
      <c r="Q79" s="15"/>
      <c r="R79" s="15"/>
      <c r="S79" s="262"/>
      <c r="T79" s="262"/>
      <c r="U79" s="263" t="s">
        <v>186</v>
      </c>
      <c r="V79" s="212"/>
      <c r="W79" s="15">
        <f t="shared" ref="W79:BA79" si="22">W77+W78</f>
        <v>445766.8</v>
      </c>
      <c r="X79" s="15">
        <f t="shared" si="22"/>
        <v>302008.59999999998</v>
      </c>
      <c r="Y79" s="15">
        <f t="shared" si="22"/>
        <v>372564.96810437494</v>
      </c>
      <c r="Z79" s="15">
        <f t="shared" si="22"/>
        <v>489925.84653778723</v>
      </c>
      <c r="AA79" s="15">
        <f t="shared" si="22"/>
        <v>385658.68324689206</v>
      </c>
      <c r="AB79" s="15">
        <f t="shared" si="22"/>
        <v>470182.92023580952</v>
      </c>
      <c r="AC79" s="15">
        <f t="shared" si="22"/>
        <v>372223.91306578316</v>
      </c>
      <c r="AD79" s="15">
        <f t="shared" si="22"/>
        <v>410722.2081362764</v>
      </c>
      <c r="AE79" s="15">
        <f t="shared" si="22"/>
        <v>442292.74377951678</v>
      </c>
      <c r="AF79" s="15">
        <f t="shared" si="22"/>
        <v>254088.66498974978</v>
      </c>
      <c r="AG79" s="15">
        <f t="shared" si="22"/>
        <v>31963.274271799484</v>
      </c>
      <c r="AH79" s="15">
        <f t="shared" si="22"/>
        <v>-95360.172493468213</v>
      </c>
      <c r="AI79" s="15">
        <f t="shared" si="22"/>
        <v>-28930.252784196055</v>
      </c>
      <c r="AJ79" s="15">
        <f t="shared" si="22"/>
        <v>30756.164445909613</v>
      </c>
      <c r="AK79" s="15">
        <f t="shared" si="22"/>
        <v>-272244.37254096917</v>
      </c>
      <c r="AL79" s="15">
        <f t="shared" si="22"/>
        <v>-414076.90880340361</v>
      </c>
      <c r="AM79" s="15">
        <f t="shared" si="22"/>
        <v>-638222.80191002705</v>
      </c>
      <c r="AN79" s="15">
        <f t="shared" si="22"/>
        <v>-607214.15050313645</v>
      </c>
      <c r="AO79" s="15">
        <f t="shared" si="22"/>
        <v>-432819.1155624463</v>
      </c>
      <c r="AP79" s="15">
        <f t="shared" si="22"/>
        <v>-436291.21094911476</v>
      </c>
      <c r="AQ79" s="15">
        <f t="shared" si="22"/>
        <v>-355167.48941147933</v>
      </c>
      <c r="AR79" s="15">
        <f t="shared" si="22"/>
        <v>-1171050.2023745596</v>
      </c>
      <c r="AS79" s="15">
        <f t="shared" si="22"/>
        <v>-1200553.3078237609</v>
      </c>
      <c r="AT79" s="15">
        <f t="shared" si="22"/>
        <v>-1475523.1998271439</v>
      </c>
      <c r="AU79" s="15">
        <f t="shared" si="22"/>
        <v>-1912372.0302919634</v>
      </c>
      <c r="AV79" s="15">
        <f t="shared" si="22"/>
        <v>-2352220.9246309916</v>
      </c>
      <c r="AW79" s="15">
        <f t="shared" si="22"/>
        <v>-2902438.5899724769</v>
      </c>
      <c r="AX79" s="15">
        <f t="shared" si="22"/>
        <v>-2979784.1664359435</v>
      </c>
      <c r="AY79" s="15">
        <f t="shared" si="22"/>
        <v>-2851049.7712353878</v>
      </c>
      <c r="AZ79" s="15">
        <f t="shared" si="22"/>
        <v>-2955302.7918207464</v>
      </c>
      <c r="BA79" s="15">
        <f t="shared" si="22"/>
        <v>-3632660.5753790117</v>
      </c>
    </row>
    <row r="80" spans="1:53" ht="17.850000000000001" hidden="1" customHeight="1">
      <c r="A80" s="242"/>
      <c r="B80" s="268"/>
      <c r="C80" s="257"/>
      <c r="D80" s="278"/>
      <c r="E80" s="12"/>
      <c r="F80" s="56"/>
      <c r="G80" s="13"/>
      <c r="H80" s="260"/>
      <c r="I80" s="221"/>
      <c r="J80" s="221"/>
      <c r="K80" s="222"/>
      <c r="L80" s="261"/>
      <c r="M80" s="15"/>
      <c r="N80" s="15"/>
      <c r="O80" s="15"/>
      <c r="P80" s="15"/>
      <c r="Q80" s="15"/>
      <c r="R80" s="15"/>
      <c r="S80" s="211"/>
      <c r="T80" s="211"/>
      <c r="U80" s="31"/>
      <c r="V80" s="212"/>
      <c r="W80" s="15"/>
      <c r="X80" s="15"/>
      <c r="Y80" s="15"/>
      <c r="Z80" s="15"/>
      <c r="AA80" s="15"/>
      <c r="AB80" s="213"/>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row>
    <row r="81" spans="1:53" ht="17.850000000000001" hidden="1" customHeight="1">
      <c r="A81" s="270"/>
      <c r="B81" s="271"/>
      <c r="C81" s="256"/>
      <c r="D81" s="278"/>
      <c r="E81" s="12"/>
      <c r="F81" s="56"/>
      <c r="G81" s="13"/>
      <c r="H81" s="260"/>
      <c r="I81" s="221"/>
      <c r="J81" s="221"/>
      <c r="K81" s="222"/>
      <c r="L81" s="261"/>
      <c r="M81" s="15"/>
      <c r="N81" s="15"/>
      <c r="O81" s="15"/>
      <c r="P81" s="15"/>
      <c r="Q81" s="15"/>
      <c r="R81" s="15"/>
      <c r="S81" s="215"/>
      <c r="T81" s="215" t="s">
        <v>187</v>
      </c>
      <c r="U81" s="31"/>
      <c r="V81" s="212"/>
      <c r="W81" s="38">
        <f t="shared" ref="W81:BA81" si="23">W50</f>
        <v>443758.2</v>
      </c>
      <c r="X81" s="38">
        <f t="shared" si="23"/>
        <v>229443.63189562503</v>
      </c>
      <c r="Y81" s="38">
        <f t="shared" si="23"/>
        <v>232639.12156658771</v>
      </c>
      <c r="Z81" s="38">
        <f t="shared" si="23"/>
        <v>474267.16329089517</v>
      </c>
      <c r="AA81" s="38">
        <f t="shared" si="23"/>
        <v>335475.76301108254</v>
      </c>
      <c r="AB81" s="279">
        <f t="shared" si="23"/>
        <v>437959.00717002637</v>
      </c>
      <c r="AC81" s="280">
        <f t="shared" si="23"/>
        <v>301501.70492950676</v>
      </c>
      <c r="AD81" s="280">
        <f t="shared" si="23"/>
        <v>308429.46435675962</v>
      </c>
      <c r="AE81" s="280">
        <f t="shared" si="23"/>
        <v>528204.07878976699</v>
      </c>
      <c r="AF81" s="280">
        <f t="shared" si="23"/>
        <v>562125.3907179503</v>
      </c>
      <c r="AG81" s="280">
        <f t="shared" si="23"/>
        <v>467323.4467652677</v>
      </c>
      <c r="AH81" s="280">
        <f t="shared" si="23"/>
        <v>273570.08029072784</v>
      </c>
      <c r="AI81" s="280">
        <f t="shared" si="23"/>
        <v>280313.58276989433</v>
      </c>
      <c r="AJ81" s="280">
        <f t="shared" si="23"/>
        <v>643000.53698687884</v>
      </c>
      <c r="AK81" s="280">
        <f t="shared" si="23"/>
        <v>481832.53626243438</v>
      </c>
      <c r="AL81" s="280">
        <f t="shared" si="23"/>
        <v>564145.89310662344</v>
      </c>
      <c r="AM81" s="280">
        <f t="shared" si="23"/>
        <v>308991.34859310946</v>
      </c>
      <c r="AN81" s="280">
        <f t="shared" si="23"/>
        <v>165604.96505930988</v>
      </c>
      <c r="AO81" s="280">
        <f t="shared" si="23"/>
        <v>343472.09538666846</v>
      </c>
      <c r="AP81" s="280">
        <f t="shared" si="23"/>
        <v>258876.27846236451</v>
      </c>
      <c r="AQ81" s="280">
        <f t="shared" si="23"/>
        <v>1155882.7129630803</v>
      </c>
      <c r="AR81" s="280">
        <f t="shared" si="23"/>
        <v>369503.10544920119</v>
      </c>
      <c r="AS81" s="280">
        <f t="shared" si="23"/>
        <v>614969.89200338302</v>
      </c>
      <c r="AT81" s="280">
        <f t="shared" si="23"/>
        <v>776848.83046481933</v>
      </c>
      <c r="AU81" s="280">
        <f t="shared" si="23"/>
        <v>779848.89433902816</v>
      </c>
      <c r="AV81" s="280">
        <f t="shared" si="23"/>
        <v>890217.66534148518</v>
      </c>
      <c r="AW81" s="280">
        <f t="shared" si="23"/>
        <v>417345.57646346639</v>
      </c>
      <c r="AX81" s="280">
        <f t="shared" si="23"/>
        <v>211265.60479944412</v>
      </c>
      <c r="AY81" s="280">
        <f t="shared" si="23"/>
        <v>444253.02058535855</v>
      </c>
      <c r="AZ81" s="281">
        <f t="shared" si="23"/>
        <v>1017357.7835582652</v>
      </c>
      <c r="BA81" s="282">
        <f t="shared" si="23"/>
        <v>735022.83328788832</v>
      </c>
    </row>
    <row r="82" spans="1:53" ht="17.850000000000001" hidden="1" customHeight="1">
      <c r="A82" s="242"/>
      <c r="B82" s="242"/>
      <c r="C82" s="256"/>
      <c r="D82" s="278"/>
      <c r="E82" s="12"/>
      <c r="F82" s="56"/>
      <c r="G82" s="13"/>
      <c r="H82" s="260"/>
      <c r="I82" s="221"/>
      <c r="J82" s="221"/>
      <c r="K82" s="222"/>
      <c r="L82" s="261"/>
      <c r="M82" s="15"/>
      <c r="N82" s="15"/>
      <c r="O82" s="15"/>
      <c r="P82" s="15"/>
      <c r="Q82" s="15"/>
      <c r="R82" s="15"/>
      <c r="S82" s="272"/>
      <c r="T82" s="272" t="s">
        <v>188</v>
      </c>
      <c r="U82" s="136"/>
      <c r="V82" s="212"/>
      <c r="W82" s="203">
        <f t="shared" ref="W82:BA82" si="24">W79-W81</f>
        <v>2008.5999999999767</v>
      </c>
      <c r="X82" s="203">
        <f t="shared" si="24"/>
        <v>72564.968104374944</v>
      </c>
      <c r="Y82" s="203">
        <f t="shared" si="24"/>
        <v>139925.84653778723</v>
      </c>
      <c r="Z82" s="203">
        <f t="shared" si="24"/>
        <v>15658.683246892062</v>
      </c>
      <c r="AA82" s="203">
        <f t="shared" si="24"/>
        <v>50182.920235809521</v>
      </c>
      <c r="AB82" s="203">
        <f t="shared" si="24"/>
        <v>32223.913065783156</v>
      </c>
      <c r="AC82" s="203">
        <f t="shared" si="24"/>
        <v>70722.2081362764</v>
      </c>
      <c r="AD82" s="203">
        <f t="shared" si="24"/>
        <v>102292.74377951678</v>
      </c>
      <c r="AE82" s="203">
        <f t="shared" si="24"/>
        <v>-85911.335010250215</v>
      </c>
      <c r="AF82" s="203">
        <f t="shared" si="24"/>
        <v>-308036.72572820052</v>
      </c>
      <c r="AG82" s="203">
        <f t="shared" si="24"/>
        <v>-435360.17249346821</v>
      </c>
      <c r="AH82" s="203">
        <f t="shared" si="24"/>
        <v>-368930.25278419605</v>
      </c>
      <c r="AI82" s="203">
        <f t="shared" si="24"/>
        <v>-309243.83555409039</v>
      </c>
      <c r="AJ82" s="203">
        <f t="shared" si="24"/>
        <v>-612244.37254096917</v>
      </c>
      <c r="AK82" s="203">
        <f t="shared" si="24"/>
        <v>-754076.90880340361</v>
      </c>
      <c r="AL82" s="203">
        <f t="shared" si="24"/>
        <v>-978222.80191002705</v>
      </c>
      <c r="AM82" s="203">
        <f t="shared" si="24"/>
        <v>-947214.15050313645</v>
      </c>
      <c r="AN82" s="203">
        <f t="shared" si="24"/>
        <v>-772819.1155624463</v>
      </c>
      <c r="AO82" s="203">
        <f t="shared" si="24"/>
        <v>-776291.21094911476</v>
      </c>
      <c r="AP82" s="203">
        <f t="shared" si="24"/>
        <v>-695167.48941147933</v>
      </c>
      <c r="AQ82" s="203">
        <f t="shared" si="24"/>
        <v>-1511050.2023745596</v>
      </c>
      <c r="AR82" s="203">
        <f t="shared" si="24"/>
        <v>-1540553.3078237609</v>
      </c>
      <c r="AS82" s="203">
        <f t="shared" si="24"/>
        <v>-1815523.1998271439</v>
      </c>
      <c r="AT82" s="203">
        <f t="shared" si="24"/>
        <v>-2252372.0302919634</v>
      </c>
      <c r="AU82" s="203">
        <f t="shared" si="24"/>
        <v>-2692220.9246309916</v>
      </c>
      <c r="AV82" s="203">
        <f t="shared" si="24"/>
        <v>-3242438.5899724769</v>
      </c>
      <c r="AW82" s="203">
        <f t="shared" si="24"/>
        <v>-3319784.1664359435</v>
      </c>
      <c r="AX82" s="203">
        <f t="shared" si="24"/>
        <v>-3191049.7712353878</v>
      </c>
      <c r="AY82" s="203">
        <f t="shared" si="24"/>
        <v>-3295302.7918207464</v>
      </c>
      <c r="AZ82" s="203">
        <f t="shared" si="24"/>
        <v>-3972660.5753790117</v>
      </c>
      <c r="BA82" s="203">
        <f t="shared" si="24"/>
        <v>-4367683.4086669004</v>
      </c>
    </row>
    <row r="83" spans="1:53" ht="17.850000000000001" hidden="1" customHeight="1">
      <c r="A83" s="249"/>
      <c r="B83" s="250"/>
      <c r="C83" s="251"/>
      <c r="D83" s="166"/>
      <c r="E83" s="12"/>
      <c r="F83" s="13"/>
      <c r="G83" s="13"/>
      <c r="H83" s="244"/>
      <c r="I83" s="15"/>
      <c r="J83" s="118"/>
      <c r="K83" s="120" t="s">
        <v>138</v>
      </c>
      <c r="L83" s="168"/>
      <c r="M83" s="252"/>
      <c r="N83" s="15"/>
      <c r="O83" s="15"/>
      <c r="P83" s="15"/>
      <c r="Q83" s="15"/>
      <c r="R83" s="15"/>
      <c r="S83" s="15"/>
      <c r="T83" s="15"/>
      <c r="U83" s="212"/>
      <c r="V83" s="212"/>
      <c r="W83" s="212"/>
      <c r="X83" s="212"/>
      <c r="Y83" s="212"/>
      <c r="Z83" s="212"/>
      <c r="AA83" s="212"/>
      <c r="AB83" s="212"/>
      <c r="AC83" s="212"/>
      <c r="AD83" s="254"/>
      <c r="AE83" s="212"/>
      <c r="AF83" s="212"/>
      <c r="AG83" s="212"/>
      <c r="AH83" s="212"/>
      <c r="AI83" s="212"/>
      <c r="AJ83" s="212"/>
      <c r="AK83" s="212"/>
      <c r="AL83" s="212"/>
      <c r="AM83" s="212"/>
      <c r="AN83" s="212"/>
      <c r="AO83" s="212"/>
      <c r="AP83" s="212"/>
      <c r="AQ83" s="212"/>
      <c r="AR83" s="212"/>
      <c r="AS83" s="212"/>
      <c r="AT83" s="212"/>
      <c r="AU83" s="212"/>
      <c r="AV83" s="212"/>
      <c r="AW83" s="212"/>
      <c r="AX83" s="254"/>
      <c r="AY83" s="212"/>
      <c r="AZ83" s="212"/>
      <c r="BA83" s="212"/>
    </row>
    <row r="84" spans="1:53" ht="17.850000000000001" hidden="1" customHeight="1">
      <c r="A84" s="249"/>
      <c r="B84" s="250"/>
      <c r="C84" s="251"/>
      <c r="D84" s="166"/>
      <c r="E84" s="12"/>
      <c r="F84" s="13"/>
      <c r="G84" s="13"/>
      <c r="H84" s="244"/>
      <c r="I84" s="15"/>
      <c r="J84" s="118"/>
      <c r="K84" s="120" t="s">
        <v>138</v>
      </c>
      <c r="L84" s="245"/>
      <c r="M84" s="252"/>
      <c r="N84" s="15"/>
      <c r="O84" s="15"/>
      <c r="P84" s="15"/>
      <c r="Q84" s="15"/>
      <c r="R84" s="15"/>
      <c r="S84" s="246"/>
      <c r="T84" s="246"/>
      <c r="U84" s="247"/>
      <c r="V84" s="247"/>
      <c r="W84" s="248"/>
      <c r="X84" s="247"/>
      <c r="Y84" s="247"/>
      <c r="Z84" s="247"/>
      <c r="AA84" s="247"/>
      <c r="AB84" s="247"/>
      <c r="AC84" s="247"/>
      <c r="AD84" s="247"/>
      <c r="AE84" s="247"/>
      <c r="AF84" s="247"/>
      <c r="AG84" s="247"/>
      <c r="AH84" s="247"/>
      <c r="AI84" s="247"/>
      <c r="AJ84" s="247"/>
      <c r="AK84" s="247"/>
      <c r="AL84" s="247"/>
      <c r="AM84" s="247"/>
      <c r="AN84" s="247"/>
      <c r="AO84" s="247"/>
      <c r="AP84" s="247"/>
      <c r="AQ84" s="248"/>
      <c r="AR84" s="247"/>
      <c r="AS84" s="247"/>
      <c r="AT84" s="247"/>
      <c r="AU84" s="247"/>
      <c r="AV84" s="247"/>
      <c r="AW84" s="247"/>
      <c r="AX84" s="247"/>
      <c r="AY84" s="247"/>
      <c r="AZ84" s="247"/>
      <c r="BA84" s="247"/>
    </row>
    <row r="85" spans="1:53" ht="17.850000000000001" customHeight="1">
      <c r="A85" s="249"/>
      <c r="B85" s="250"/>
      <c r="C85" s="251"/>
      <c r="D85" s="166"/>
      <c r="E85" s="12"/>
      <c r="F85" s="13"/>
      <c r="G85" s="13"/>
      <c r="H85" s="167"/>
      <c r="I85" s="15"/>
      <c r="J85" s="15"/>
      <c r="K85" s="120" t="s">
        <v>138</v>
      </c>
      <c r="L85" s="168"/>
      <c r="M85" s="123"/>
      <c r="N85" s="15"/>
      <c r="O85" s="15"/>
      <c r="P85" s="15"/>
      <c r="Q85" s="15"/>
      <c r="R85" s="15"/>
      <c r="S85" s="15"/>
      <c r="T85" s="15"/>
      <c r="U85" s="212"/>
      <c r="V85" s="212"/>
      <c r="W85" s="212"/>
      <c r="X85" s="212"/>
      <c r="Y85" s="212"/>
      <c r="Z85" s="212"/>
      <c r="AA85" s="212"/>
      <c r="AB85" s="212"/>
      <c r="AC85" s="212"/>
      <c r="AD85" s="212"/>
      <c r="AE85" s="254"/>
      <c r="AF85" s="212"/>
      <c r="AG85" s="212"/>
      <c r="AH85" s="212"/>
      <c r="AI85" s="212"/>
      <c r="AJ85" s="212"/>
      <c r="AK85" s="212"/>
      <c r="AL85" s="212"/>
      <c r="AM85" s="212"/>
      <c r="AN85" s="212"/>
      <c r="AO85" s="212"/>
      <c r="AP85" s="212"/>
      <c r="AQ85" s="212"/>
      <c r="AR85" s="212"/>
      <c r="AS85" s="212"/>
      <c r="AT85" s="212"/>
      <c r="AU85" s="212"/>
      <c r="AV85" s="212"/>
      <c r="AW85" s="212"/>
      <c r="AX85" s="212"/>
      <c r="AY85" s="254"/>
      <c r="AZ85" s="212"/>
      <c r="BA85" s="212"/>
    </row>
    <row r="86" spans="1:53" ht="17.850000000000001" customHeight="1">
      <c r="A86" s="249"/>
      <c r="B86" s="250"/>
      <c r="C86" s="251"/>
      <c r="D86" s="166"/>
      <c r="E86" s="12"/>
      <c r="F86" s="13"/>
      <c r="G86" s="13"/>
      <c r="H86" s="167"/>
      <c r="I86" s="15"/>
      <c r="J86" s="15"/>
      <c r="K86" s="120" t="s">
        <v>138</v>
      </c>
      <c r="L86" s="168"/>
      <c r="M86" s="123"/>
      <c r="N86" s="15"/>
      <c r="O86" s="15"/>
      <c r="P86" s="15"/>
      <c r="Q86" s="15"/>
      <c r="R86" s="15"/>
      <c r="S86" s="15"/>
      <c r="T86" s="15"/>
      <c r="U86" s="212"/>
      <c r="V86" s="212"/>
      <c r="W86" s="254"/>
      <c r="X86" s="212"/>
      <c r="Y86" s="212"/>
      <c r="Z86" s="212"/>
      <c r="AA86" s="212"/>
      <c r="AB86" s="212"/>
      <c r="AC86" s="212"/>
      <c r="AD86" s="212"/>
      <c r="AE86" s="212"/>
      <c r="AF86" s="212"/>
      <c r="AG86" s="212"/>
      <c r="AH86" s="212"/>
      <c r="AI86" s="212"/>
      <c r="AJ86" s="212"/>
      <c r="AK86" s="212"/>
      <c r="AL86" s="212"/>
      <c r="AM86" s="212"/>
      <c r="AN86" s="212"/>
      <c r="AO86" s="212"/>
      <c r="AP86" s="212"/>
      <c r="AQ86" s="254"/>
      <c r="AR86" s="212"/>
      <c r="AS86" s="212"/>
      <c r="AT86" s="212"/>
      <c r="AU86" s="212"/>
      <c r="AV86" s="212"/>
      <c r="AW86" s="212"/>
      <c r="AX86" s="212"/>
      <c r="AY86" s="212"/>
      <c r="AZ86" s="212"/>
      <c r="BA86" s="212"/>
    </row>
    <row r="87" spans="1:53" ht="17.850000000000001" customHeight="1">
      <c r="A87" s="249"/>
      <c r="B87" s="250"/>
      <c r="C87" s="166"/>
      <c r="D87" s="166"/>
      <c r="E87" s="12"/>
      <c r="F87" s="13"/>
      <c r="G87" s="13"/>
      <c r="H87" s="167"/>
      <c r="I87" s="15"/>
      <c r="J87" s="15"/>
      <c r="K87" s="120" t="s">
        <v>138</v>
      </c>
      <c r="L87" s="168"/>
      <c r="M87" s="123"/>
      <c r="N87" s="15"/>
      <c r="O87" s="15"/>
      <c r="P87" s="15"/>
      <c r="Q87" s="15"/>
      <c r="R87" s="15"/>
      <c r="S87" s="15"/>
      <c r="T87" s="15"/>
      <c r="U87" s="212"/>
      <c r="V87" s="212"/>
      <c r="W87" s="212"/>
      <c r="X87" s="212"/>
      <c r="Y87" s="212"/>
      <c r="Z87" s="212"/>
      <c r="AA87" s="254"/>
      <c r="AB87" s="212"/>
      <c r="AC87" s="212"/>
      <c r="AD87" s="212"/>
      <c r="AE87" s="212"/>
      <c r="AF87" s="212"/>
      <c r="AG87" s="212"/>
      <c r="AH87" s="212"/>
      <c r="AI87" s="212"/>
      <c r="AJ87" s="212"/>
      <c r="AK87" s="212"/>
      <c r="AL87" s="212"/>
      <c r="AM87" s="212"/>
      <c r="AN87" s="212"/>
      <c r="AO87" s="212"/>
      <c r="AP87" s="212"/>
      <c r="AQ87" s="212"/>
      <c r="AR87" s="212"/>
      <c r="AS87" s="212"/>
      <c r="AT87" s="212"/>
      <c r="AU87" s="254"/>
      <c r="AV87" s="212"/>
      <c r="AW87" s="212"/>
      <c r="AX87" s="212"/>
      <c r="AY87" s="212"/>
      <c r="AZ87" s="212"/>
      <c r="BA87" s="212"/>
    </row>
    <row r="88" spans="1:53" ht="17.850000000000001" customHeight="1">
      <c r="A88" s="249"/>
      <c r="B88" s="250"/>
      <c r="C88" s="166"/>
      <c r="D88" s="166"/>
      <c r="E88" s="12"/>
      <c r="F88" s="13"/>
      <c r="G88" s="13"/>
      <c r="H88" s="167"/>
      <c r="I88" s="15"/>
      <c r="J88" s="15"/>
      <c r="K88" s="120" t="s">
        <v>138</v>
      </c>
      <c r="L88" s="168"/>
      <c r="M88" s="123"/>
      <c r="N88" s="15"/>
      <c r="O88" s="15"/>
      <c r="P88" s="15"/>
      <c r="Q88" s="15"/>
      <c r="R88" s="15"/>
      <c r="S88" s="15"/>
      <c r="T88" s="15"/>
      <c r="U88" s="212"/>
      <c r="V88" s="212"/>
      <c r="W88" s="212"/>
      <c r="X88" s="212"/>
      <c r="Y88" s="212"/>
      <c r="Z88" s="212"/>
      <c r="AA88" s="212"/>
      <c r="AB88" s="212"/>
      <c r="AC88" s="212"/>
      <c r="AD88" s="212"/>
      <c r="AE88" s="212"/>
      <c r="AF88" s="254"/>
      <c r="AG88" s="212"/>
      <c r="AH88" s="212"/>
      <c r="AI88" s="212"/>
      <c r="AJ88" s="212"/>
      <c r="AK88" s="212"/>
      <c r="AL88" s="212"/>
      <c r="AM88" s="212"/>
      <c r="AN88" s="212"/>
      <c r="AO88" s="212"/>
      <c r="AP88" s="212"/>
      <c r="AQ88" s="212"/>
      <c r="AR88" s="212"/>
      <c r="AS88" s="212"/>
      <c r="AT88" s="212"/>
      <c r="AU88" s="212"/>
      <c r="AV88" s="212"/>
      <c r="AW88" s="212"/>
      <c r="AX88" s="212"/>
      <c r="AY88" s="212"/>
      <c r="AZ88" s="254"/>
      <c r="BA88" s="254"/>
    </row>
    <row r="89" spans="1:53" ht="17.850000000000001" customHeight="1">
      <c r="A89" s="249"/>
      <c r="B89" s="283"/>
      <c r="C89" s="251"/>
      <c r="D89" s="166"/>
      <c r="E89" s="12"/>
      <c r="F89" s="13"/>
      <c r="G89" s="70"/>
      <c r="H89" s="70"/>
      <c r="I89" s="15"/>
      <c r="J89" s="15"/>
      <c r="K89" s="120" t="s">
        <v>138</v>
      </c>
      <c r="L89" s="158"/>
      <c r="M89" s="123"/>
      <c r="N89" s="15"/>
      <c r="O89" s="15"/>
      <c r="P89" s="15"/>
      <c r="Q89" s="15"/>
      <c r="R89" s="15"/>
      <c r="S89" s="15"/>
      <c r="T89" s="15"/>
      <c r="U89" s="42"/>
      <c r="V89" s="13"/>
      <c r="W89" s="13"/>
      <c r="X89" s="42"/>
      <c r="Y89" s="13"/>
      <c r="Z89" s="13"/>
      <c r="AA89" s="42"/>
      <c r="AB89" s="13"/>
      <c r="AC89" s="13"/>
      <c r="AD89" s="42"/>
      <c r="AE89" s="13"/>
      <c r="AF89" s="13"/>
      <c r="AG89" s="42"/>
      <c r="AH89" s="13"/>
      <c r="AI89" s="13"/>
      <c r="AJ89" s="42"/>
      <c r="AK89" s="13"/>
      <c r="AL89" s="13"/>
      <c r="AM89" s="42"/>
      <c r="AN89" s="13"/>
      <c r="AO89" s="13"/>
      <c r="AP89" s="42"/>
      <c r="AQ89" s="13"/>
      <c r="AR89" s="13"/>
      <c r="AS89" s="42"/>
      <c r="AT89" s="13"/>
      <c r="AU89" s="13"/>
      <c r="AV89" s="42"/>
      <c r="AW89" s="13"/>
      <c r="AX89" s="13"/>
      <c r="AY89" s="42"/>
      <c r="AZ89" s="42"/>
      <c r="BA89" s="42"/>
    </row>
    <row r="90" spans="1:53" ht="17.850000000000001" customHeight="1">
      <c r="A90" s="242"/>
      <c r="B90" s="243"/>
      <c r="C90" s="166"/>
      <c r="D90" s="166"/>
      <c r="E90" s="12"/>
      <c r="F90" s="56"/>
      <c r="G90" s="13"/>
      <c r="H90" s="213"/>
      <c r="I90" s="15"/>
      <c r="J90" s="15"/>
      <c r="K90" s="16"/>
      <c r="L90" s="168"/>
      <c r="M90" s="15"/>
      <c r="N90" s="15"/>
      <c r="O90" s="15"/>
      <c r="P90" s="15"/>
      <c r="Q90" s="15"/>
      <c r="R90" s="15"/>
      <c r="S90" s="168"/>
      <c r="T90" s="168"/>
      <c r="U90" s="168"/>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row>
    <row r="91" spans="1:53" ht="17.850000000000001" customHeight="1">
      <c r="A91" s="242"/>
      <c r="B91" s="243"/>
      <c r="C91" s="192"/>
      <c r="D91" s="192"/>
      <c r="E91" s="12"/>
      <c r="F91" s="193"/>
      <c r="G91" s="194"/>
      <c r="H91" s="213"/>
      <c r="I91" s="15"/>
      <c r="J91" s="15"/>
      <c r="K91" s="16"/>
      <c r="L91" s="284"/>
      <c r="M91" s="15"/>
      <c r="N91" s="15"/>
      <c r="O91" s="15"/>
      <c r="P91" s="15"/>
      <c r="Q91" s="15"/>
      <c r="R91" s="15"/>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row>
    <row r="92" spans="1:53" ht="17.850000000000001" customHeight="1">
      <c r="A92" s="242"/>
      <c r="B92" s="268"/>
      <c r="C92" s="285"/>
      <c r="D92" s="285"/>
      <c r="E92" s="258"/>
      <c r="F92" s="286"/>
      <c r="G92" s="219"/>
      <c r="H92" s="213"/>
      <c r="I92" s="15"/>
      <c r="J92" s="15"/>
      <c r="K92" s="16"/>
      <c r="L92" s="287"/>
      <c r="M92" s="15"/>
      <c r="N92" s="15"/>
      <c r="O92" s="15"/>
      <c r="P92" s="15"/>
      <c r="Q92" s="15"/>
      <c r="R92" s="15"/>
      <c r="S92" s="273"/>
      <c r="T92" s="273"/>
      <c r="U92" s="274"/>
      <c r="V92" s="212">
        <f>V61</f>
        <v>0</v>
      </c>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row>
    <row r="93" spans="1:53" ht="17.850000000000001" customHeight="1">
      <c r="A93" s="242"/>
      <c r="B93" s="268"/>
      <c r="C93" s="285"/>
      <c r="D93" s="285"/>
      <c r="E93" s="258"/>
      <c r="F93" s="286"/>
      <c r="G93" s="219"/>
      <c r="H93" s="213"/>
      <c r="I93" s="15"/>
      <c r="J93" s="15"/>
      <c r="K93" s="16"/>
      <c r="L93" s="288"/>
      <c r="M93" s="15"/>
      <c r="N93" s="15"/>
      <c r="O93" s="15"/>
      <c r="P93" s="15"/>
      <c r="Q93" s="15"/>
      <c r="R93" s="15"/>
      <c r="S93" s="273"/>
      <c r="T93" s="273"/>
      <c r="U93" s="274"/>
      <c r="V93" s="42"/>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row>
    <row r="94" spans="1:53" ht="17.850000000000001" customHeight="1">
      <c r="A94" s="242"/>
      <c r="B94" s="289"/>
      <c r="C94" s="290"/>
      <c r="D94" s="285"/>
      <c r="E94" s="258"/>
      <c r="F94" s="286"/>
      <c r="G94" s="219"/>
      <c r="H94" s="213"/>
      <c r="I94" s="15"/>
      <c r="J94" s="15"/>
      <c r="K94" s="16"/>
      <c r="L94" s="167"/>
      <c r="M94" s="15"/>
      <c r="N94" s="15"/>
      <c r="O94" s="15"/>
      <c r="P94" s="15"/>
      <c r="Q94" s="15"/>
      <c r="R94" s="15"/>
      <c r="S94" s="291"/>
      <c r="T94" s="291"/>
      <c r="U94" s="292"/>
      <c r="V94" s="213"/>
      <c r="W94" s="15"/>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row>
    <row r="95" spans="1:53" ht="17.850000000000001" customHeight="1">
      <c r="A95" s="242"/>
      <c r="B95" s="266"/>
      <c r="C95" s="197"/>
      <c r="D95" s="217"/>
      <c r="E95" s="12"/>
      <c r="F95" s="198"/>
      <c r="G95" s="199"/>
      <c r="H95" s="284"/>
      <c r="I95" s="15"/>
      <c r="J95" s="15"/>
      <c r="K95" s="16"/>
      <c r="L95" s="167"/>
      <c r="M95" s="15"/>
      <c r="N95" s="15"/>
      <c r="O95" s="15"/>
      <c r="P95" s="15"/>
      <c r="Q95" s="15"/>
      <c r="R95" s="15"/>
      <c r="S95" s="168"/>
      <c r="T95" s="168"/>
      <c r="U95" s="293"/>
      <c r="V95" s="213"/>
      <c r="W95" s="15"/>
      <c r="X95" s="213"/>
      <c r="Y95" s="213"/>
      <c r="Z95" s="213"/>
      <c r="AA95" s="213"/>
      <c r="AB95" s="213"/>
      <c r="AC95" s="213"/>
      <c r="AD95" s="213"/>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row>
    <row r="96" spans="1:53" ht="17.850000000000001" customHeight="1">
      <c r="A96" s="242"/>
      <c r="B96" s="294"/>
      <c r="C96" s="295"/>
      <c r="D96" s="285"/>
      <c r="E96" s="258"/>
      <c r="F96" s="296"/>
      <c r="G96" s="297"/>
      <c r="H96" s="298"/>
      <c r="I96" s="15"/>
      <c r="J96" s="15"/>
      <c r="K96" s="16"/>
      <c r="L96" s="214"/>
      <c r="M96" s="15"/>
      <c r="N96" s="15"/>
      <c r="O96" s="15"/>
      <c r="P96" s="15"/>
      <c r="Q96" s="15"/>
      <c r="R96" s="15"/>
      <c r="S96" s="168"/>
      <c r="T96" s="168"/>
      <c r="U96" s="276"/>
      <c r="V96" s="213"/>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row>
    <row r="97" spans="1:53" ht="17.850000000000001" customHeight="1">
      <c r="A97" s="232"/>
      <c r="B97" s="299"/>
      <c r="C97" s="290"/>
      <c r="D97" s="285"/>
      <c r="E97" s="258"/>
      <c r="F97" s="286"/>
      <c r="G97" s="219"/>
      <c r="H97" s="236"/>
      <c r="I97" s="15"/>
      <c r="J97" s="15"/>
      <c r="K97" s="16"/>
      <c r="L97" s="300"/>
      <c r="M97" s="221"/>
      <c r="N97" s="221"/>
      <c r="O97" s="221"/>
      <c r="P97" s="221"/>
      <c r="Q97" s="221"/>
      <c r="R97" s="221"/>
      <c r="S97" s="301"/>
      <c r="T97" s="302"/>
      <c r="U97" s="292"/>
      <c r="V97" s="213"/>
      <c r="W97" s="15"/>
      <c r="X97" s="213"/>
      <c r="Y97" s="213"/>
      <c r="Z97" s="213"/>
      <c r="AA97" s="213"/>
      <c r="AB97" s="213"/>
      <c r="AC97" s="213"/>
      <c r="AD97" s="213"/>
      <c r="AE97" s="213"/>
      <c r="AF97" s="213"/>
      <c r="AG97" s="213"/>
      <c r="AH97" s="213"/>
      <c r="AI97" s="213"/>
      <c r="AJ97" s="213"/>
      <c r="AK97" s="213"/>
      <c r="AL97" s="213"/>
      <c r="AM97" s="213"/>
      <c r="AN97" s="213"/>
      <c r="AO97" s="213"/>
      <c r="AP97" s="213"/>
      <c r="AQ97" s="213"/>
      <c r="AR97" s="213"/>
      <c r="AS97" s="213"/>
      <c r="AT97" s="213"/>
      <c r="AU97" s="213"/>
      <c r="AV97" s="213"/>
      <c r="AW97" s="213"/>
      <c r="AX97" s="213"/>
      <c r="AY97" s="213"/>
      <c r="AZ97" s="213"/>
      <c r="BA97" s="213"/>
    </row>
    <row r="98" spans="1:53" ht="17.850000000000001" customHeight="1">
      <c r="A98" s="232"/>
      <c r="B98" s="303"/>
      <c r="C98" s="290"/>
      <c r="D98" s="285"/>
      <c r="E98" s="258"/>
      <c r="F98" s="286"/>
      <c r="G98" s="219"/>
      <c r="H98" s="213"/>
      <c r="I98" s="15"/>
      <c r="J98" s="15"/>
      <c r="K98" s="16"/>
      <c r="L98" s="304"/>
      <c r="M98" s="221"/>
      <c r="N98" s="221"/>
      <c r="O98" s="221"/>
      <c r="P98" s="221"/>
      <c r="Q98" s="221"/>
      <c r="R98" s="221"/>
      <c r="S98" s="305"/>
      <c r="T98" s="306"/>
      <c r="U98" s="307"/>
      <c r="V98" s="213"/>
      <c r="W98" s="15"/>
      <c r="X98" s="213"/>
      <c r="Y98" s="213"/>
      <c r="Z98" s="213"/>
      <c r="AA98" s="213"/>
      <c r="AB98" s="213"/>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AZ98" s="213"/>
      <c r="BA98" s="213"/>
    </row>
    <row r="99" spans="1:53" ht="17.850000000000001" customHeight="1">
      <c r="A99" s="232"/>
      <c r="B99" s="303"/>
      <c r="C99" s="290"/>
      <c r="D99" s="285"/>
      <c r="E99" s="258"/>
      <c r="F99" s="308"/>
      <c r="G99" s="309"/>
      <c r="H99" s="310"/>
      <c r="I99" s="15"/>
      <c r="J99" s="15"/>
      <c r="K99" s="16"/>
      <c r="L99" s="311"/>
      <c r="M99" s="221"/>
      <c r="N99" s="221"/>
      <c r="O99" s="221"/>
      <c r="P99" s="221"/>
      <c r="Q99" s="221"/>
      <c r="R99" s="221"/>
      <c r="S99" s="301"/>
      <c r="T99" s="302"/>
      <c r="U99" s="307"/>
      <c r="V99" s="181"/>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row>
  </sheetData>
  <pageMargins left="6.9444400000000003E-2" right="0" top="0.5" bottom="0.5" header="0" footer="0"/>
  <pageSetup orientation="landscape"/>
  <headerFooter>
    <oddFooter>&amp;C&amp;"Helvetica Neue,Regular"&amp;12&amp;K000000&amp;P</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
  <sheetViews>
    <sheetView showGridLines="0" workbookViewId="0">
      <pane xSplit="1" ySplit="2" topLeftCell="B3" activePane="bottomRight" state="frozen"/>
      <selection pane="topRight"/>
      <selection pane="bottomLeft"/>
      <selection pane="bottomRight" activeCell="B3" sqref="B3"/>
    </sheetView>
  </sheetViews>
  <sheetFormatPr defaultColWidth="16.28515625" defaultRowHeight="13.9" customHeight="1"/>
  <cols>
    <col min="1" max="6" width="16.28515625" style="5" customWidth="1"/>
    <col min="7" max="16384" width="16.28515625" style="5"/>
  </cols>
  <sheetData>
    <row r="1" spans="1:5" ht="15.6" customHeight="1">
      <c r="A1" s="369" t="s">
        <v>5</v>
      </c>
      <c r="B1" s="369"/>
      <c r="C1" s="369"/>
      <c r="D1" s="369"/>
      <c r="E1" s="369"/>
    </row>
    <row r="2" spans="1:5" ht="14.25" customHeight="1">
      <c r="A2" s="312"/>
      <c r="B2" s="312"/>
      <c r="C2" s="312"/>
      <c r="D2" s="312"/>
      <c r="E2" s="312"/>
    </row>
    <row r="3" spans="1:5" ht="14.25" customHeight="1">
      <c r="A3" s="313"/>
      <c r="B3" s="314"/>
      <c r="C3" s="315"/>
      <c r="D3" s="315"/>
      <c r="E3" s="315"/>
    </row>
    <row r="4" spans="1:5" ht="14.1" customHeight="1">
      <c r="A4" s="316"/>
      <c r="B4" s="317"/>
      <c r="C4" s="318"/>
      <c r="D4" s="318"/>
      <c r="E4" s="318"/>
    </row>
    <row r="5" spans="1:5" ht="14.1" customHeight="1">
      <c r="A5" s="316"/>
      <c r="B5" s="317"/>
      <c r="C5" s="318"/>
      <c r="D5" s="318"/>
      <c r="E5" s="318"/>
    </row>
    <row r="6" spans="1:5" ht="14.1" customHeight="1">
      <c r="A6" s="316"/>
      <c r="B6" s="317"/>
      <c r="C6" s="318"/>
      <c r="D6" s="318"/>
      <c r="E6" s="318"/>
    </row>
    <row r="7" spans="1:5" ht="14.1" customHeight="1">
      <c r="A7" s="316"/>
      <c r="B7" s="317"/>
      <c r="C7" s="318"/>
      <c r="D7" s="318"/>
      <c r="E7" s="318"/>
    </row>
    <row r="8" spans="1:5" ht="14.1" customHeight="1">
      <c r="A8" s="316"/>
      <c r="B8" s="317"/>
      <c r="C8" s="318"/>
      <c r="D8" s="318"/>
      <c r="E8" s="318"/>
    </row>
    <row r="9" spans="1:5" ht="14.1" customHeight="1">
      <c r="A9" s="316"/>
      <c r="B9" s="317"/>
      <c r="C9" s="318"/>
      <c r="D9" s="318"/>
      <c r="E9" s="318"/>
    </row>
    <row r="10" spans="1:5" ht="14.1" customHeight="1">
      <c r="A10" s="316"/>
      <c r="B10" s="317"/>
      <c r="C10" s="318"/>
      <c r="D10" s="318"/>
      <c r="E10" s="318"/>
    </row>
    <row r="11" spans="1:5" ht="14.1" customHeight="1">
      <c r="A11" s="316"/>
      <c r="B11" s="317"/>
      <c r="C11" s="318"/>
      <c r="D11" s="318"/>
      <c r="E11" s="318"/>
    </row>
  </sheetData>
  <mergeCells count="1">
    <mergeCell ref="A1:E1"/>
  </mergeCells>
  <pageMargins left="1" right="1" top="1" bottom="1" header="0.25" footer="0.25"/>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13"/>
  <sheetViews>
    <sheetView showGridLines="0" workbookViewId="0"/>
  </sheetViews>
  <sheetFormatPr defaultColWidth="16.28515625" defaultRowHeight="13.9" customHeight="1"/>
  <cols>
    <col min="1" max="1" width="20.85546875" style="5" customWidth="1"/>
    <col min="2" max="2" width="24.42578125" style="5" customWidth="1"/>
    <col min="3" max="3" width="15.42578125" style="5" customWidth="1"/>
    <col min="4" max="4" width="12.7109375" style="5" customWidth="1"/>
    <col min="5" max="5" width="16.28515625" style="5" hidden="1" customWidth="1"/>
    <col min="6" max="6" width="11.42578125" style="5" customWidth="1"/>
    <col min="7" max="7" width="8.85546875" style="5" customWidth="1"/>
    <col min="8" max="8" width="12.28515625" style="5" customWidth="1"/>
    <col min="9" max="11" width="16.28515625" style="5" hidden="1" customWidth="1"/>
    <col min="12" max="12" width="16.42578125" style="5" customWidth="1"/>
    <col min="13" max="18" width="16.28515625" style="5" hidden="1" customWidth="1"/>
    <col min="19" max="51" width="12.28515625" style="5" customWidth="1"/>
    <col min="52" max="52" width="16.28515625" style="5" customWidth="1"/>
    <col min="53" max="16384" width="16.28515625" style="5"/>
  </cols>
  <sheetData>
    <row r="1" spans="1:51" ht="32.65" customHeight="1">
      <c r="A1" s="6" t="s">
        <v>6</v>
      </c>
      <c r="B1" s="6" t="s">
        <v>7</v>
      </c>
      <c r="C1" s="6" t="s">
        <v>8</v>
      </c>
      <c r="D1" s="6" t="s">
        <v>9</v>
      </c>
      <c r="E1" s="319"/>
      <c r="F1" s="6" t="s">
        <v>11</v>
      </c>
      <c r="G1" s="6" t="s">
        <v>12</v>
      </c>
      <c r="H1" s="6"/>
      <c r="I1" s="319"/>
      <c r="J1" s="319"/>
      <c r="K1" s="319"/>
      <c r="L1" s="6" t="s">
        <v>17</v>
      </c>
      <c r="M1" s="319"/>
      <c r="N1" s="319"/>
      <c r="O1" s="319"/>
      <c r="P1" s="319"/>
      <c r="Q1" s="319"/>
      <c r="R1" s="319"/>
      <c r="S1" s="6" t="s">
        <v>25</v>
      </c>
      <c r="T1" s="6" t="s">
        <v>26</v>
      </c>
      <c r="U1" s="6" t="s">
        <v>27</v>
      </c>
      <c r="V1" s="6" t="s">
        <v>28</v>
      </c>
      <c r="W1" s="6" t="s">
        <v>29</v>
      </c>
      <c r="X1" s="6" t="s">
        <v>30</v>
      </c>
      <c r="Y1" s="6" t="s">
        <v>31</v>
      </c>
      <c r="Z1" s="6" t="s">
        <v>32</v>
      </c>
      <c r="AA1" s="6" t="s">
        <v>33</v>
      </c>
      <c r="AB1" s="6" t="s">
        <v>34</v>
      </c>
      <c r="AC1" s="6" t="s">
        <v>35</v>
      </c>
      <c r="AD1" s="6" t="s">
        <v>36</v>
      </c>
      <c r="AE1" s="6" t="s">
        <v>37</v>
      </c>
      <c r="AF1" s="6" t="s">
        <v>38</v>
      </c>
      <c r="AG1" s="6" t="s">
        <v>39</v>
      </c>
      <c r="AH1" s="320" t="s">
        <v>40</v>
      </c>
      <c r="AI1" s="6" t="s">
        <v>41</v>
      </c>
      <c r="AJ1" s="6" t="s">
        <v>42</v>
      </c>
      <c r="AK1" s="6" t="s">
        <v>43</v>
      </c>
      <c r="AL1" s="6" t="s">
        <v>44</v>
      </c>
      <c r="AM1" s="6" t="s">
        <v>45</v>
      </c>
      <c r="AN1" s="6" t="s">
        <v>46</v>
      </c>
      <c r="AO1" s="6" t="s">
        <v>47</v>
      </c>
      <c r="AP1" s="6" t="s">
        <v>48</v>
      </c>
      <c r="AQ1" s="6" t="s">
        <v>49</v>
      </c>
      <c r="AR1" s="6" t="s">
        <v>50</v>
      </c>
      <c r="AS1" s="6" t="s">
        <v>51</v>
      </c>
      <c r="AT1" s="6" t="s">
        <v>52</v>
      </c>
      <c r="AU1" s="6" t="s">
        <v>53</v>
      </c>
      <c r="AV1" s="6" t="s">
        <v>54</v>
      </c>
      <c r="AW1" s="6" t="s">
        <v>55</v>
      </c>
      <c r="AX1" s="6" t="s">
        <v>56</v>
      </c>
      <c r="AY1" s="6" t="s">
        <v>57</v>
      </c>
    </row>
    <row r="2" spans="1:51" ht="17.850000000000001" customHeight="1">
      <c r="A2" s="23" t="s">
        <v>195</v>
      </c>
      <c r="B2" s="6" t="s">
        <v>196</v>
      </c>
      <c r="C2" s="166"/>
      <c r="D2" s="251" t="s">
        <v>197</v>
      </c>
      <c r="E2" s="12"/>
      <c r="F2" s="321" t="s">
        <v>198</v>
      </c>
      <c r="G2" s="27">
        <v>1</v>
      </c>
      <c r="H2" s="167"/>
      <c r="I2" s="15"/>
      <c r="J2" s="15"/>
      <c r="K2" s="16"/>
      <c r="L2" s="168">
        <v>5000</v>
      </c>
      <c r="M2" s="15"/>
      <c r="N2" s="15"/>
      <c r="O2" s="15"/>
      <c r="P2" s="15"/>
      <c r="Q2" s="15"/>
      <c r="R2" s="15"/>
      <c r="S2" s="45"/>
      <c r="T2" s="31" t="s">
        <v>72</v>
      </c>
      <c r="U2" s="322" t="s">
        <v>63</v>
      </c>
      <c r="V2" s="322" t="s">
        <v>64</v>
      </c>
      <c r="W2" s="322" t="s">
        <v>65</v>
      </c>
      <c r="X2" s="322" t="s">
        <v>66</v>
      </c>
      <c r="Y2" s="322" t="s">
        <v>67</v>
      </c>
      <c r="Z2" s="322" t="s">
        <v>68</v>
      </c>
      <c r="AA2" s="322" t="s">
        <v>69</v>
      </c>
      <c r="AB2" s="322" t="s">
        <v>70</v>
      </c>
      <c r="AC2" s="322" t="s">
        <v>71</v>
      </c>
      <c r="AD2" s="322" t="s">
        <v>77</v>
      </c>
      <c r="AE2" s="322" t="s">
        <v>88</v>
      </c>
      <c r="AF2" s="322" t="s">
        <v>93</v>
      </c>
      <c r="AG2" s="322" t="s">
        <v>94</v>
      </c>
      <c r="AH2" s="323" t="s">
        <v>95</v>
      </c>
      <c r="AI2" s="322" t="s">
        <v>96</v>
      </c>
      <c r="AJ2" s="322" t="s">
        <v>97</v>
      </c>
      <c r="AK2" s="322" t="s">
        <v>98</v>
      </c>
      <c r="AL2" s="322" t="s">
        <v>99</v>
      </c>
      <c r="AM2" s="324" t="s">
        <v>199</v>
      </c>
      <c r="AN2" s="322" t="s">
        <v>72</v>
      </c>
      <c r="AO2" s="322" t="s">
        <v>63</v>
      </c>
      <c r="AP2" s="322" t="s">
        <v>64</v>
      </c>
      <c r="AQ2" s="322" t="s">
        <v>65</v>
      </c>
      <c r="AR2" s="322" t="s">
        <v>66</v>
      </c>
      <c r="AS2" s="322" t="s">
        <v>67</v>
      </c>
      <c r="AT2" s="322" t="s">
        <v>68</v>
      </c>
      <c r="AU2" s="322" t="s">
        <v>69</v>
      </c>
      <c r="AV2" s="322" t="s">
        <v>70</v>
      </c>
      <c r="AW2" s="322" t="s">
        <v>71</v>
      </c>
      <c r="AX2" s="322" t="s">
        <v>77</v>
      </c>
      <c r="AY2" s="322" t="s">
        <v>88</v>
      </c>
    </row>
    <row r="3" spans="1:51" ht="17.850000000000001" customHeight="1">
      <c r="A3" s="23" t="s">
        <v>200</v>
      </c>
      <c r="B3" s="6" t="s">
        <v>201</v>
      </c>
      <c r="C3" s="251"/>
      <c r="D3" s="325">
        <v>2004</v>
      </c>
      <c r="E3" s="12"/>
      <c r="F3" s="321" t="s">
        <v>198</v>
      </c>
      <c r="G3" s="27">
        <v>17</v>
      </c>
      <c r="H3" s="167"/>
      <c r="I3" s="15"/>
      <c r="J3" s="118"/>
      <c r="K3" s="120" t="s">
        <v>138</v>
      </c>
      <c r="L3" s="168">
        <v>10000</v>
      </c>
      <c r="M3" s="252"/>
      <c r="N3" s="15"/>
      <c r="O3" s="15"/>
      <c r="P3" s="15"/>
      <c r="Q3" s="15"/>
      <c r="R3" s="15"/>
      <c r="S3" s="45"/>
      <c r="T3" s="31" t="s">
        <v>97</v>
      </c>
      <c r="U3" s="322" t="s">
        <v>98</v>
      </c>
      <c r="V3" s="322" t="s">
        <v>99</v>
      </c>
      <c r="W3" s="324" t="s">
        <v>199</v>
      </c>
      <c r="X3" s="322" t="s">
        <v>72</v>
      </c>
      <c r="Y3" s="322" t="s">
        <v>63</v>
      </c>
      <c r="Z3" s="322" t="s">
        <v>64</v>
      </c>
      <c r="AA3" s="322" t="s">
        <v>65</v>
      </c>
      <c r="AB3" s="322" t="s">
        <v>66</v>
      </c>
      <c r="AC3" s="322" t="s">
        <v>67</v>
      </c>
      <c r="AD3" s="322" t="s">
        <v>68</v>
      </c>
      <c r="AE3" s="322" t="s">
        <v>69</v>
      </c>
      <c r="AF3" s="322" t="s">
        <v>70</v>
      </c>
      <c r="AG3" s="322" t="s">
        <v>71</v>
      </c>
      <c r="AH3" s="322" t="s">
        <v>77</v>
      </c>
      <c r="AI3" s="322" t="s">
        <v>88</v>
      </c>
      <c r="AJ3" s="322" t="s">
        <v>93</v>
      </c>
      <c r="AK3" s="322" t="s">
        <v>94</v>
      </c>
      <c r="AL3" s="322" t="s">
        <v>95</v>
      </c>
      <c r="AM3" s="322" t="s">
        <v>96</v>
      </c>
      <c r="AN3" s="322" t="s">
        <v>97</v>
      </c>
      <c r="AO3" s="322" t="s">
        <v>98</v>
      </c>
      <c r="AP3" s="322" t="s">
        <v>99</v>
      </c>
      <c r="AQ3" s="324" t="s">
        <v>199</v>
      </c>
      <c r="AR3" s="322" t="s">
        <v>72</v>
      </c>
      <c r="AS3" s="322" t="s">
        <v>63</v>
      </c>
      <c r="AT3" s="322" t="s">
        <v>64</v>
      </c>
      <c r="AU3" s="322" t="s">
        <v>65</v>
      </c>
      <c r="AV3" s="322" t="s">
        <v>66</v>
      </c>
      <c r="AW3" s="322" t="s">
        <v>67</v>
      </c>
      <c r="AX3" s="322" t="s">
        <v>68</v>
      </c>
      <c r="AY3" s="322" t="s">
        <v>69</v>
      </c>
    </row>
    <row r="4" spans="1:51" ht="17.850000000000001" customHeight="1">
      <c r="A4" s="23" t="s">
        <v>200</v>
      </c>
      <c r="B4" s="6" t="s">
        <v>202</v>
      </c>
      <c r="C4" s="251"/>
      <c r="D4" s="325">
        <v>2008</v>
      </c>
      <c r="E4" s="12"/>
      <c r="F4" s="321" t="s">
        <v>198</v>
      </c>
      <c r="G4" s="27">
        <v>13</v>
      </c>
      <c r="H4" s="167"/>
      <c r="I4" s="15"/>
      <c r="J4" s="118"/>
      <c r="K4" s="120" t="s">
        <v>138</v>
      </c>
      <c r="L4" s="168">
        <v>10000</v>
      </c>
      <c r="M4" s="252"/>
      <c r="N4" s="15"/>
      <c r="O4" s="15"/>
      <c r="P4" s="15"/>
      <c r="Q4" s="15"/>
      <c r="R4" s="15"/>
      <c r="S4" s="45"/>
      <c r="T4" s="31" t="s">
        <v>93</v>
      </c>
      <c r="U4" s="322" t="s">
        <v>94</v>
      </c>
      <c r="V4" s="322" t="s">
        <v>95</v>
      </c>
      <c r="W4" s="322" t="s">
        <v>96</v>
      </c>
      <c r="X4" s="322" t="s">
        <v>97</v>
      </c>
      <c r="Y4" s="322" t="s">
        <v>98</v>
      </c>
      <c r="Z4" s="322" t="s">
        <v>99</v>
      </c>
      <c r="AA4" s="324" t="s">
        <v>199</v>
      </c>
      <c r="AB4" s="322" t="s">
        <v>72</v>
      </c>
      <c r="AC4" s="322" t="s">
        <v>63</v>
      </c>
      <c r="AD4" s="322" t="s">
        <v>64</v>
      </c>
      <c r="AE4" s="322" t="s">
        <v>65</v>
      </c>
      <c r="AF4" s="322" t="s">
        <v>66</v>
      </c>
      <c r="AG4" s="322" t="s">
        <v>67</v>
      </c>
      <c r="AH4" s="322" t="s">
        <v>68</v>
      </c>
      <c r="AI4" s="322" t="s">
        <v>69</v>
      </c>
      <c r="AJ4" s="322" t="s">
        <v>70</v>
      </c>
      <c r="AK4" s="322" t="s">
        <v>71</v>
      </c>
      <c r="AL4" s="322" t="s">
        <v>77</v>
      </c>
      <c r="AM4" s="322" t="s">
        <v>88</v>
      </c>
      <c r="AN4" s="322" t="s">
        <v>93</v>
      </c>
      <c r="AO4" s="322" t="s">
        <v>94</v>
      </c>
      <c r="AP4" s="322" t="s">
        <v>95</v>
      </c>
      <c r="AQ4" s="322" t="s">
        <v>96</v>
      </c>
      <c r="AR4" s="322" t="s">
        <v>97</v>
      </c>
      <c r="AS4" s="322" t="s">
        <v>98</v>
      </c>
      <c r="AT4" s="322" t="s">
        <v>99</v>
      </c>
      <c r="AU4" s="324" t="s">
        <v>199</v>
      </c>
      <c r="AV4" s="322" t="s">
        <v>72</v>
      </c>
      <c r="AW4" s="322" t="s">
        <v>63</v>
      </c>
      <c r="AX4" s="322" t="s">
        <v>64</v>
      </c>
      <c r="AY4" s="322" t="s">
        <v>65</v>
      </c>
    </row>
    <row r="5" spans="1:51" ht="17.850000000000001" customHeight="1">
      <c r="A5" s="23" t="s">
        <v>200</v>
      </c>
      <c r="B5" s="6" t="s">
        <v>203</v>
      </c>
      <c r="C5" s="251"/>
      <c r="D5" s="325">
        <v>1960</v>
      </c>
      <c r="E5" s="12"/>
      <c r="F5" s="321" t="s">
        <v>198</v>
      </c>
      <c r="G5" s="27">
        <v>61</v>
      </c>
      <c r="H5" s="167"/>
      <c r="I5" s="15"/>
      <c r="J5" s="118"/>
      <c r="K5" s="120" t="s">
        <v>138</v>
      </c>
      <c r="L5" s="168">
        <v>10000</v>
      </c>
      <c r="M5" s="252"/>
      <c r="N5" s="15"/>
      <c r="O5" s="15"/>
      <c r="P5" s="15"/>
      <c r="Q5" s="15"/>
      <c r="R5" s="15"/>
      <c r="S5" s="45"/>
      <c r="T5" s="31" t="s">
        <v>204</v>
      </c>
      <c r="U5" s="322" t="s">
        <v>205</v>
      </c>
      <c r="V5" s="322" t="s">
        <v>206</v>
      </c>
      <c r="W5" s="322" t="s">
        <v>207</v>
      </c>
      <c r="X5" s="322" t="s">
        <v>208</v>
      </c>
      <c r="Y5" s="322" t="s">
        <v>209</v>
      </c>
      <c r="Z5" s="322" t="s">
        <v>210</v>
      </c>
      <c r="AA5" s="322" t="s">
        <v>211</v>
      </c>
      <c r="AB5" s="322" t="s">
        <v>212</v>
      </c>
      <c r="AC5" s="324" t="s">
        <v>199</v>
      </c>
      <c r="AD5" s="322" t="s">
        <v>72</v>
      </c>
      <c r="AE5" s="322" t="s">
        <v>63</v>
      </c>
      <c r="AF5" s="322" t="s">
        <v>64</v>
      </c>
      <c r="AG5" s="322" t="s">
        <v>65</v>
      </c>
      <c r="AH5" s="322" t="s">
        <v>66</v>
      </c>
      <c r="AI5" s="322" t="s">
        <v>67</v>
      </c>
      <c r="AJ5" s="322" t="s">
        <v>68</v>
      </c>
      <c r="AK5" s="322" t="s">
        <v>69</v>
      </c>
      <c r="AL5" s="322" t="s">
        <v>70</v>
      </c>
      <c r="AM5" s="322" t="s">
        <v>71</v>
      </c>
      <c r="AN5" s="322" t="s">
        <v>77</v>
      </c>
      <c r="AO5" s="322" t="s">
        <v>88</v>
      </c>
      <c r="AP5" s="322" t="s">
        <v>93</v>
      </c>
      <c r="AQ5" s="322" t="s">
        <v>94</v>
      </c>
      <c r="AR5" s="322" t="s">
        <v>95</v>
      </c>
      <c r="AS5" s="322" t="s">
        <v>96</v>
      </c>
      <c r="AT5" s="322" t="s">
        <v>97</v>
      </c>
      <c r="AU5" s="322" t="s">
        <v>98</v>
      </c>
      <c r="AV5" s="322" t="s">
        <v>99</v>
      </c>
      <c r="AW5" s="324" t="s">
        <v>199</v>
      </c>
      <c r="AX5" s="322" t="s">
        <v>72</v>
      </c>
      <c r="AY5" s="322" t="s">
        <v>63</v>
      </c>
    </row>
    <row r="6" spans="1:51" ht="17.850000000000001" customHeight="1">
      <c r="A6" s="23" t="s">
        <v>200</v>
      </c>
      <c r="B6" s="6" t="s">
        <v>202</v>
      </c>
      <c r="C6" s="251"/>
      <c r="D6" s="325">
        <v>2003</v>
      </c>
      <c r="E6" s="12"/>
      <c r="F6" s="321" t="s">
        <v>198</v>
      </c>
      <c r="G6" s="27">
        <v>18</v>
      </c>
      <c r="H6" s="167"/>
      <c r="I6" s="15"/>
      <c r="J6" s="118"/>
      <c r="K6" s="120" t="s">
        <v>138</v>
      </c>
      <c r="L6" s="168">
        <v>10000</v>
      </c>
      <c r="M6" s="252"/>
      <c r="N6" s="15"/>
      <c r="O6" s="15"/>
      <c r="P6" s="15"/>
      <c r="Q6" s="15"/>
      <c r="R6" s="15"/>
      <c r="S6" s="45"/>
      <c r="T6" s="31" t="s">
        <v>98</v>
      </c>
      <c r="U6" s="322" t="s">
        <v>99</v>
      </c>
      <c r="V6" s="324" t="s">
        <v>199</v>
      </c>
      <c r="W6" s="322" t="s">
        <v>72</v>
      </c>
      <c r="X6" s="322" t="s">
        <v>63</v>
      </c>
      <c r="Y6" s="322" t="s">
        <v>64</v>
      </c>
      <c r="Z6" s="322" t="s">
        <v>65</v>
      </c>
      <c r="AA6" s="322" t="s">
        <v>66</v>
      </c>
      <c r="AB6" s="322" t="s">
        <v>67</v>
      </c>
      <c r="AC6" s="322" t="s">
        <v>68</v>
      </c>
      <c r="AD6" s="322" t="s">
        <v>69</v>
      </c>
      <c r="AE6" s="322" t="s">
        <v>70</v>
      </c>
      <c r="AF6" s="322" t="s">
        <v>71</v>
      </c>
      <c r="AG6" s="322" t="s">
        <v>77</v>
      </c>
      <c r="AH6" s="322" t="s">
        <v>88</v>
      </c>
      <c r="AI6" s="322" t="s">
        <v>93</v>
      </c>
      <c r="AJ6" s="322" t="s">
        <v>94</v>
      </c>
      <c r="AK6" s="322" t="s">
        <v>95</v>
      </c>
      <c r="AL6" s="322" t="s">
        <v>96</v>
      </c>
      <c r="AM6" s="322" t="s">
        <v>97</v>
      </c>
      <c r="AN6" s="322" t="s">
        <v>98</v>
      </c>
      <c r="AO6" s="322" t="s">
        <v>99</v>
      </c>
      <c r="AP6" s="324" t="s">
        <v>199</v>
      </c>
      <c r="AQ6" s="322" t="s">
        <v>63</v>
      </c>
      <c r="AR6" s="322" t="s">
        <v>64</v>
      </c>
      <c r="AS6" s="322" t="s">
        <v>65</v>
      </c>
      <c r="AT6" s="322" t="s">
        <v>66</v>
      </c>
      <c r="AU6" s="322" t="s">
        <v>67</v>
      </c>
      <c r="AV6" s="322" t="s">
        <v>68</v>
      </c>
      <c r="AW6" s="322" t="s">
        <v>69</v>
      </c>
      <c r="AX6" s="322" t="s">
        <v>70</v>
      </c>
      <c r="AY6" s="322" t="s">
        <v>71</v>
      </c>
    </row>
    <row r="7" spans="1:51" ht="17.850000000000001" customHeight="1">
      <c r="A7" s="23" t="s">
        <v>200</v>
      </c>
      <c r="B7" s="6" t="s">
        <v>213</v>
      </c>
      <c r="C7" s="251"/>
      <c r="D7" s="325">
        <v>2011</v>
      </c>
      <c r="E7" s="12"/>
      <c r="F7" s="321" t="s">
        <v>198</v>
      </c>
      <c r="G7" s="27">
        <v>10</v>
      </c>
      <c r="H7" s="167"/>
      <c r="I7" s="15"/>
      <c r="J7" s="15"/>
      <c r="K7" s="120" t="s">
        <v>138</v>
      </c>
      <c r="L7" s="168">
        <v>10000</v>
      </c>
      <c r="M7" s="123"/>
      <c r="N7" s="15"/>
      <c r="O7" s="15"/>
      <c r="P7" s="15"/>
      <c r="Q7" s="15"/>
      <c r="R7" s="15"/>
      <c r="S7" s="45"/>
      <c r="T7" s="31" t="s">
        <v>71</v>
      </c>
      <c r="U7" s="322" t="s">
        <v>77</v>
      </c>
      <c r="V7" s="322" t="s">
        <v>88</v>
      </c>
      <c r="W7" s="322" t="s">
        <v>93</v>
      </c>
      <c r="X7" s="322" t="s">
        <v>94</v>
      </c>
      <c r="Y7" s="322" t="s">
        <v>95</v>
      </c>
      <c r="Z7" s="322" t="s">
        <v>96</v>
      </c>
      <c r="AA7" s="322" t="s">
        <v>97</v>
      </c>
      <c r="AB7" s="322" t="s">
        <v>98</v>
      </c>
      <c r="AC7" s="322" t="s">
        <v>99</v>
      </c>
      <c r="AD7" s="324" t="s">
        <v>199</v>
      </c>
      <c r="AE7" s="322" t="s">
        <v>72</v>
      </c>
      <c r="AF7" s="322" t="s">
        <v>63</v>
      </c>
      <c r="AG7" s="322" t="s">
        <v>64</v>
      </c>
      <c r="AH7" s="322" t="s">
        <v>65</v>
      </c>
      <c r="AI7" s="322" t="s">
        <v>66</v>
      </c>
      <c r="AJ7" s="322" t="s">
        <v>67</v>
      </c>
      <c r="AK7" s="322" t="s">
        <v>68</v>
      </c>
      <c r="AL7" s="322" t="s">
        <v>69</v>
      </c>
      <c r="AM7" s="322" t="s">
        <v>70</v>
      </c>
      <c r="AN7" s="322" t="s">
        <v>71</v>
      </c>
      <c r="AO7" s="322" t="s">
        <v>77</v>
      </c>
      <c r="AP7" s="322" t="s">
        <v>88</v>
      </c>
      <c r="AQ7" s="322" t="s">
        <v>93</v>
      </c>
      <c r="AR7" s="322" t="s">
        <v>94</v>
      </c>
      <c r="AS7" s="322" t="s">
        <v>95</v>
      </c>
      <c r="AT7" s="322" t="s">
        <v>96</v>
      </c>
      <c r="AU7" s="322" t="s">
        <v>97</v>
      </c>
      <c r="AV7" s="322" t="s">
        <v>98</v>
      </c>
      <c r="AW7" s="322" t="s">
        <v>99</v>
      </c>
      <c r="AX7" s="324" t="s">
        <v>199</v>
      </c>
      <c r="AY7" s="322" t="s">
        <v>72</v>
      </c>
    </row>
    <row r="8" spans="1:51" ht="17.850000000000001" customHeight="1">
      <c r="A8" s="23" t="s">
        <v>214</v>
      </c>
      <c r="B8" s="6" t="s">
        <v>215</v>
      </c>
      <c r="C8" s="251"/>
      <c r="D8" s="325">
        <v>2003</v>
      </c>
      <c r="E8" s="12"/>
      <c r="F8" s="321" t="s">
        <v>198</v>
      </c>
      <c r="G8" s="27">
        <v>18</v>
      </c>
      <c r="H8" s="167"/>
      <c r="I8" s="15"/>
      <c r="J8" s="15"/>
      <c r="K8" s="120" t="s">
        <v>138</v>
      </c>
      <c r="L8" s="168">
        <v>15000</v>
      </c>
      <c r="M8" s="123"/>
      <c r="N8" s="15"/>
      <c r="O8" s="15"/>
      <c r="P8" s="15"/>
      <c r="Q8" s="15"/>
      <c r="R8" s="15"/>
      <c r="S8" s="45"/>
      <c r="T8" s="31" t="s">
        <v>98</v>
      </c>
      <c r="U8" s="322" t="s">
        <v>99</v>
      </c>
      <c r="V8" s="324" t="s">
        <v>199</v>
      </c>
      <c r="W8" s="322" t="s">
        <v>72</v>
      </c>
      <c r="X8" s="322" t="s">
        <v>63</v>
      </c>
      <c r="Y8" s="322" t="s">
        <v>64</v>
      </c>
      <c r="Z8" s="322" t="s">
        <v>65</v>
      </c>
      <c r="AA8" s="322" t="s">
        <v>66</v>
      </c>
      <c r="AB8" s="322" t="s">
        <v>67</v>
      </c>
      <c r="AC8" s="322" t="s">
        <v>68</v>
      </c>
      <c r="AD8" s="322" t="s">
        <v>69</v>
      </c>
      <c r="AE8" s="322" t="s">
        <v>70</v>
      </c>
      <c r="AF8" s="322" t="s">
        <v>71</v>
      </c>
      <c r="AG8" s="322" t="s">
        <v>77</v>
      </c>
      <c r="AH8" s="322" t="s">
        <v>88</v>
      </c>
      <c r="AI8" s="322" t="s">
        <v>93</v>
      </c>
      <c r="AJ8" s="322" t="s">
        <v>94</v>
      </c>
      <c r="AK8" s="322" t="s">
        <v>95</v>
      </c>
      <c r="AL8" s="322" t="s">
        <v>96</v>
      </c>
      <c r="AM8" s="322" t="s">
        <v>97</v>
      </c>
      <c r="AN8" s="322" t="s">
        <v>98</v>
      </c>
      <c r="AO8" s="322" t="s">
        <v>99</v>
      </c>
      <c r="AP8" s="324" t="s">
        <v>199</v>
      </c>
      <c r="AQ8" s="322" t="s">
        <v>63</v>
      </c>
      <c r="AR8" s="322" t="s">
        <v>64</v>
      </c>
      <c r="AS8" s="322" t="s">
        <v>65</v>
      </c>
      <c r="AT8" s="322" t="s">
        <v>66</v>
      </c>
      <c r="AU8" s="322" t="s">
        <v>67</v>
      </c>
      <c r="AV8" s="322" t="s">
        <v>68</v>
      </c>
      <c r="AW8" s="322" t="s">
        <v>69</v>
      </c>
      <c r="AX8" s="322" t="s">
        <v>70</v>
      </c>
      <c r="AY8" s="322" t="s">
        <v>71</v>
      </c>
    </row>
    <row r="9" spans="1:51" ht="17.850000000000001" customHeight="1">
      <c r="A9" s="23" t="s">
        <v>216</v>
      </c>
      <c r="B9" s="6" t="s">
        <v>217</v>
      </c>
      <c r="C9" s="166"/>
      <c r="D9" s="325">
        <v>2007</v>
      </c>
      <c r="E9" s="12"/>
      <c r="F9" s="321" t="s">
        <v>198</v>
      </c>
      <c r="G9" s="27">
        <v>14</v>
      </c>
      <c r="H9" s="167"/>
      <c r="I9" s="15"/>
      <c r="J9" s="15"/>
      <c r="K9" s="120" t="s">
        <v>138</v>
      </c>
      <c r="L9" s="168">
        <v>15000</v>
      </c>
      <c r="M9" s="123"/>
      <c r="N9" s="15"/>
      <c r="O9" s="15"/>
      <c r="P9" s="15"/>
      <c r="Q9" s="15"/>
      <c r="R9" s="15"/>
      <c r="S9" s="45"/>
      <c r="T9" s="31" t="s">
        <v>94</v>
      </c>
      <c r="U9" s="322" t="s">
        <v>95</v>
      </c>
      <c r="V9" s="322" t="s">
        <v>96</v>
      </c>
      <c r="W9" s="322" t="s">
        <v>97</v>
      </c>
      <c r="X9" s="322" t="s">
        <v>98</v>
      </c>
      <c r="Y9" s="322" t="s">
        <v>99</v>
      </c>
      <c r="Z9" s="324" t="s">
        <v>199</v>
      </c>
      <c r="AA9" s="322" t="s">
        <v>72</v>
      </c>
      <c r="AB9" s="322" t="s">
        <v>63</v>
      </c>
      <c r="AC9" s="322" t="s">
        <v>64</v>
      </c>
      <c r="AD9" s="322" t="s">
        <v>65</v>
      </c>
      <c r="AE9" s="322" t="s">
        <v>66</v>
      </c>
      <c r="AF9" s="322" t="s">
        <v>67</v>
      </c>
      <c r="AG9" s="322" t="s">
        <v>68</v>
      </c>
      <c r="AH9" s="322" t="s">
        <v>69</v>
      </c>
      <c r="AI9" s="322" t="s">
        <v>70</v>
      </c>
      <c r="AJ9" s="322" t="s">
        <v>71</v>
      </c>
      <c r="AK9" s="322" t="s">
        <v>77</v>
      </c>
      <c r="AL9" s="322" t="s">
        <v>88</v>
      </c>
      <c r="AM9" s="322" t="s">
        <v>93</v>
      </c>
      <c r="AN9" s="322" t="s">
        <v>94</v>
      </c>
      <c r="AO9" s="322" t="s">
        <v>95</v>
      </c>
      <c r="AP9" s="322" t="s">
        <v>96</v>
      </c>
      <c r="AQ9" s="322" t="s">
        <v>97</v>
      </c>
      <c r="AR9" s="322" t="s">
        <v>98</v>
      </c>
      <c r="AS9" s="322" t="s">
        <v>99</v>
      </c>
      <c r="AT9" s="324" t="s">
        <v>199</v>
      </c>
      <c r="AU9" s="322" t="s">
        <v>72</v>
      </c>
      <c r="AV9" s="322" t="s">
        <v>63</v>
      </c>
      <c r="AW9" s="322" t="s">
        <v>64</v>
      </c>
      <c r="AX9" s="322" t="s">
        <v>65</v>
      </c>
      <c r="AY9" s="322" t="s">
        <v>66</v>
      </c>
    </row>
    <row r="10" spans="1:51" ht="17.850000000000001" customHeight="1">
      <c r="A10" s="23" t="s">
        <v>216</v>
      </c>
      <c r="B10" s="6" t="s">
        <v>218</v>
      </c>
      <c r="C10" s="166"/>
      <c r="D10" s="325">
        <v>2013</v>
      </c>
      <c r="E10" s="12"/>
      <c r="F10" s="321" t="s">
        <v>198</v>
      </c>
      <c r="G10" s="27">
        <v>8</v>
      </c>
      <c r="H10" s="167"/>
      <c r="I10" s="15"/>
      <c r="J10" s="15"/>
      <c r="K10" s="120" t="s">
        <v>138</v>
      </c>
      <c r="L10" s="168">
        <v>15000</v>
      </c>
      <c r="M10" s="123"/>
      <c r="N10" s="15"/>
      <c r="O10" s="15"/>
      <c r="P10" s="15"/>
      <c r="Q10" s="15"/>
      <c r="R10" s="15"/>
      <c r="S10" s="45"/>
      <c r="T10" s="31" t="s">
        <v>70</v>
      </c>
      <c r="U10" s="322" t="s">
        <v>71</v>
      </c>
      <c r="V10" s="322" t="s">
        <v>77</v>
      </c>
      <c r="W10" s="322" t="s">
        <v>88</v>
      </c>
      <c r="X10" s="322" t="s">
        <v>93</v>
      </c>
      <c r="Y10" s="322" t="s">
        <v>94</v>
      </c>
      <c r="Z10" s="322" t="s">
        <v>95</v>
      </c>
      <c r="AA10" s="322" t="s">
        <v>96</v>
      </c>
      <c r="AB10" s="322" t="s">
        <v>97</v>
      </c>
      <c r="AC10" s="322" t="s">
        <v>98</v>
      </c>
      <c r="AD10" s="322" t="s">
        <v>99</v>
      </c>
      <c r="AE10" s="324" t="s">
        <v>199</v>
      </c>
      <c r="AF10" s="322" t="s">
        <v>72</v>
      </c>
      <c r="AG10" s="322" t="s">
        <v>63</v>
      </c>
      <c r="AH10" s="322" t="s">
        <v>64</v>
      </c>
      <c r="AI10" s="322" t="s">
        <v>65</v>
      </c>
      <c r="AJ10" s="322" t="s">
        <v>66</v>
      </c>
      <c r="AK10" s="322" t="s">
        <v>67</v>
      </c>
      <c r="AL10" s="322" t="s">
        <v>68</v>
      </c>
      <c r="AM10" s="322" t="s">
        <v>69</v>
      </c>
      <c r="AN10" s="322" t="s">
        <v>70</v>
      </c>
      <c r="AO10" s="322" t="s">
        <v>71</v>
      </c>
      <c r="AP10" s="322" t="s">
        <v>77</v>
      </c>
      <c r="AQ10" s="322" t="s">
        <v>88</v>
      </c>
      <c r="AR10" s="322" t="s">
        <v>93</v>
      </c>
      <c r="AS10" s="322" t="s">
        <v>94</v>
      </c>
      <c r="AT10" s="322" t="s">
        <v>95</v>
      </c>
      <c r="AU10" s="322" t="s">
        <v>96</v>
      </c>
      <c r="AV10" s="322" t="s">
        <v>97</v>
      </c>
      <c r="AW10" s="322" t="s">
        <v>98</v>
      </c>
      <c r="AX10" s="322" t="s">
        <v>99</v>
      </c>
      <c r="AY10" s="324" t="s">
        <v>199</v>
      </c>
    </row>
    <row r="11" spans="1:51" ht="17.850000000000001" customHeight="1">
      <c r="A11" s="23" t="s">
        <v>219</v>
      </c>
      <c r="B11" s="326" t="s">
        <v>220</v>
      </c>
      <c r="C11" s="251"/>
      <c r="D11" s="325">
        <v>2005</v>
      </c>
      <c r="E11" s="12"/>
      <c r="F11" s="321" t="s">
        <v>198</v>
      </c>
      <c r="G11" s="70">
        <v>16</v>
      </c>
      <c r="H11" s="70"/>
      <c r="I11" s="15"/>
      <c r="J11" s="15"/>
      <c r="K11" s="120" t="s">
        <v>138</v>
      </c>
      <c r="L11" s="327" t="s">
        <v>138</v>
      </c>
      <c r="M11" s="123"/>
      <c r="N11" s="15"/>
      <c r="O11" s="15"/>
      <c r="P11" s="15"/>
      <c r="Q11" s="15"/>
      <c r="R11" s="15"/>
      <c r="S11" s="45"/>
      <c r="T11" s="72" t="s">
        <v>138</v>
      </c>
      <c r="U11" s="321" t="s">
        <v>221</v>
      </c>
      <c r="V11" s="321" t="s">
        <v>222</v>
      </c>
      <c r="W11" s="321" t="s">
        <v>138</v>
      </c>
      <c r="X11" s="321" t="s">
        <v>221</v>
      </c>
      <c r="Y11" s="321" t="s">
        <v>222</v>
      </c>
      <c r="Z11" s="321" t="s">
        <v>138</v>
      </c>
      <c r="AA11" s="321" t="s">
        <v>221</v>
      </c>
      <c r="AB11" s="321" t="s">
        <v>222</v>
      </c>
      <c r="AC11" s="321" t="s">
        <v>138</v>
      </c>
      <c r="AD11" s="321" t="s">
        <v>221</v>
      </c>
      <c r="AE11" s="321" t="s">
        <v>222</v>
      </c>
      <c r="AF11" s="321" t="s">
        <v>138</v>
      </c>
      <c r="AG11" s="321" t="s">
        <v>221</v>
      </c>
      <c r="AH11" s="321" t="s">
        <v>222</v>
      </c>
      <c r="AI11" s="321" t="s">
        <v>138</v>
      </c>
      <c r="AJ11" s="321" t="s">
        <v>221</v>
      </c>
      <c r="AK11" s="321" t="s">
        <v>222</v>
      </c>
      <c r="AL11" s="321" t="s">
        <v>138</v>
      </c>
      <c r="AM11" s="321" t="s">
        <v>221</v>
      </c>
      <c r="AN11" s="321" t="s">
        <v>222</v>
      </c>
      <c r="AO11" s="321" t="s">
        <v>138</v>
      </c>
      <c r="AP11" s="321" t="s">
        <v>221</v>
      </c>
      <c r="AQ11" s="321" t="s">
        <v>222</v>
      </c>
      <c r="AR11" s="321" t="s">
        <v>138</v>
      </c>
      <c r="AS11" s="321" t="s">
        <v>221</v>
      </c>
      <c r="AT11" s="321" t="s">
        <v>222</v>
      </c>
      <c r="AU11" s="321" t="s">
        <v>138</v>
      </c>
      <c r="AV11" s="321" t="s">
        <v>221</v>
      </c>
      <c r="AW11" s="321" t="s">
        <v>222</v>
      </c>
      <c r="AX11" s="321" t="s">
        <v>138</v>
      </c>
      <c r="AY11" s="321" t="s">
        <v>222</v>
      </c>
    </row>
    <row r="12" spans="1:51" ht="17.850000000000001" customHeight="1">
      <c r="A12" s="126"/>
      <c r="B12" s="127"/>
      <c r="C12" s="166"/>
      <c r="D12" s="166"/>
      <c r="E12" s="12"/>
      <c r="F12" s="56"/>
      <c r="G12" s="13"/>
      <c r="H12" s="328" t="s">
        <v>223</v>
      </c>
      <c r="I12" s="15"/>
      <c r="J12" s="15"/>
      <c r="K12" s="16"/>
      <c r="L12" s="329"/>
      <c r="M12" s="15"/>
      <c r="N12" s="15"/>
      <c r="O12" s="15"/>
      <c r="P12" s="15"/>
      <c r="Q12" s="15"/>
      <c r="R12" s="15"/>
      <c r="S12" s="329"/>
      <c r="T12" s="329"/>
      <c r="U12" s="15">
        <f>SUM((L2+L3+L4+L5+L6+L7+L8+L9+L10)/20)</f>
        <v>5000</v>
      </c>
      <c r="V12" s="15">
        <f t="shared" ref="V12:AY12" si="0">U12</f>
        <v>5000</v>
      </c>
      <c r="W12" s="15">
        <f t="shared" si="0"/>
        <v>5000</v>
      </c>
      <c r="X12" s="15">
        <f t="shared" si="0"/>
        <v>5000</v>
      </c>
      <c r="Y12" s="15">
        <f t="shared" si="0"/>
        <v>5000</v>
      </c>
      <c r="Z12" s="15">
        <f t="shared" si="0"/>
        <v>5000</v>
      </c>
      <c r="AA12" s="15">
        <f t="shared" si="0"/>
        <v>5000</v>
      </c>
      <c r="AB12" s="15">
        <f t="shared" si="0"/>
        <v>5000</v>
      </c>
      <c r="AC12" s="15">
        <f t="shared" si="0"/>
        <v>5000</v>
      </c>
      <c r="AD12" s="15">
        <f t="shared" si="0"/>
        <v>5000</v>
      </c>
      <c r="AE12" s="15">
        <f t="shared" si="0"/>
        <v>5000</v>
      </c>
      <c r="AF12" s="15">
        <f t="shared" si="0"/>
        <v>5000</v>
      </c>
      <c r="AG12" s="15">
        <f t="shared" si="0"/>
        <v>5000</v>
      </c>
      <c r="AH12" s="15">
        <f t="shared" si="0"/>
        <v>5000</v>
      </c>
      <c r="AI12" s="15">
        <f t="shared" si="0"/>
        <v>5000</v>
      </c>
      <c r="AJ12" s="15">
        <f t="shared" si="0"/>
        <v>5000</v>
      </c>
      <c r="AK12" s="15">
        <f t="shared" si="0"/>
        <v>5000</v>
      </c>
      <c r="AL12" s="15">
        <f t="shared" si="0"/>
        <v>5000</v>
      </c>
      <c r="AM12" s="15">
        <f t="shared" si="0"/>
        <v>5000</v>
      </c>
      <c r="AN12" s="15">
        <f t="shared" si="0"/>
        <v>5000</v>
      </c>
      <c r="AO12" s="15">
        <f t="shared" si="0"/>
        <v>5000</v>
      </c>
      <c r="AP12" s="15">
        <f t="shared" si="0"/>
        <v>5000</v>
      </c>
      <c r="AQ12" s="15">
        <f t="shared" si="0"/>
        <v>5000</v>
      </c>
      <c r="AR12" s="15">
        <f t="shared" si="0"/>
        <v>5000</v>
      </c>
      <c r="AS12" s="15">
        <f t="shared" si="0"/>
        <v>5000</v>
      </c>
      <c r="AT12" s="15">
        <f t="shared" si="0"/>
        <v>5000</v>
      </c>
      <c r="AU12" s="15">
        <f t="shared" si="0"/>
        <v>5000</v>
      </c>
      <c r="AV12" s="15">
        <f t="shared" si="0"/>
        <v>5000</v>
      </c>
      <c r="AW12" s="15">
        <f t="shared" si="0"/>
        <v>5000</v>
      </c>
      <c r="AX12" s="15">
        <f t="shared" si="0"/>
        <v>5000</v>
      </c>
      <c r="AY12" s="15">
        <f t="shared" si="0"/>
        <v>5000</v>
      </c>
    </row>
    <row r="13" spans="1:51" ht="17.850000000000001" customHeight="1">
      <c r="A13" s="126"/>
      <c r="B13" s="127"/>
      <c r="C13" s="330"/>
      <c r="D13" s="330"/>
      <c r="E13" s="12"/>
      <c r="F13" s="331"/>
      <c r="G13" s="332"/>
      <c r="H13" s="213"/>
      <c r="I13" s="15"/>
      <c r="J13" s="15"/>
      <c r="K13" s="16"/>
      <c r="L13" s="213"/>
      <c r="M13" s="15"/>
      <c r="N13" s="15"/>
      <c r="O13" s="15"/>
      <c r="P13" s="15"/>
      <c r="Q13" s="15"/>
      <c r="R13" s="15"/>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row>
  </sheetData>
  <pageMargins left="1" right="1" top="1" bottom="1" header="0.25" footer="0.25"/>
  <pageSetup orientation="portrait"/>
  <headerFooter>
    <oddFooter>&amp;C&amp;"Helvetica Neue,Regular"&amp;12&amp;K000000&amp;P</oddFooter>
  </headerFooter>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0"/>
  <sheetViews>
    <sheetView showGridLines="0" workbookViewId="0"/>
  </sheetViews>
  <sheetFormatPr defaultColWidth="16.28515625" defaultRowHeight="19.899999999999999" customHeight="1"/>
  <cols>
    <col min="1" max="17" width="16.28515625" style="5" customWidth="1"/>
    <col min="18" max="16384" width="16.28515625" style="5"/>
  </cols>
  <sheetData>
    <row r="1" spans="1:16" ht="27.6" customHeight="1">
      <c r="A1" s="370" t="s">
        <v>5</v>
      </c>
      <c r="B1" s="371"/>
      <c r="C1" s="371"/>
      <c r="D1" s="371"/>
      <c r="E1" s="371"/>
      <c r="F1" s="371"/>
      <c r="G1" s="371"/>
      <c r="H1" s="371"/>
      <c r="I1" s="371"/>
      <c r="J1" s="371"/>
      <c r="K1" s="371"/>
      <c r="L1" s="371"/>
      <c r="M1" s="371"/>
      <c r="N1" s="371"/>
      <c r="O1" s="371"/>
      <c r="P1" s="372"/>
    </row>
    <row r="2" spans="1:16" ht="20.25" customHeight="1">
      <c r="A2" s="333"/>
      <c r="B2" s="334">
        <v>44562</v>
      </c>
      <c r="C2" s="334">
        <v>44593</v>
      </c>
      <c r="D2" s="334">
        <v>44621</v>
      </c>
      <c r="E2" s="334">
        <v>44652</v>
      </c>
      <c r="F2" s="334">
        <v>44682</v>
      </c>
      <c r="G2" s="334">
        <v>44713</v>
      </c>
      <c r="H2" s="334">
        <v>44743</v>
      </c>
      <c r="I2" s="334">
        <v>44774</v>
      </c>
      <c r="J2" s="334">
        <v>44805</v>
      </c>
      <c r="K2" s="334">
        <v>44835</v>
      </c>
      <c r="L2" s="334">
        <v>44866</v>
      </c>
      <c r="M2" s="334">
        <v>44896</v>
      </c>
      <c r="N2" s="335" t="s">
        <v>225</v>
      </c>
      <c r="O2" s="333"/>
      <c r="P2" s="333"/>
    </row>
    <row r="3" spans="1:16" ht="24.6" customHeight="1">
      <c r="A3" s="336">
        <v>1992</v>
      </c>
      <c r="B3" s="337"/>
      <c r="C3" s="338"/>
      <c r="D3" s="338"/>
      <c r="E3" s="338"/>
      <c r="F3" s="338"/>
      <c r="G3" s="338"/>
      <c r="H3" s="338"/>
      <c r="I3" s="338"/>
      <c r="J3" s="338"/>
      <c r="K3" s="339">
        <v>3.2</v>
      </c>
      <c r="L3" s="339">
        <v>3</v>
      </c>
      <c r="M3" s="339">
        <v>2.9</v>
      </c>
      <c r="N3" s="340">
        <v>3</v>
      </c>
      <c r="O3" s="339">
        <f>AVERAGE(M3,K3,L3)</f>
        <v>3.0333333333333332</v>
      </c>
      <c r="P3" s="341">
        <f>(K3+L3+M3)/3</f>
        <v>3.0333333333333332</v>
      </c>
    </row>
    <row r="4" spans="1:16" ht="24.4" customHeight="1">
      <c r="A4" s="342">
        <v>1993</v>
      </c>
      <c r="B4" s="343">
        <v>3.3</v>
      </c>
      <c r="C4" s="344">
        <v>3.2</v>
      </c>
      <c r="D4" s="344">
        <v>3.1</v>
      </c>
      <c r="E4" s="344">
        <v>3.2</v>
      </c>
      <c r="F4" s="344">
        <v>3.2</v>
      </c>
      <c r="G4" s="344">
        <v>3</v>
      </c>
      <c r="H4" s="344">
        <v>2.8</v>
      </c>
      <c r="I4" s="344">
        <v>2.8</v>
      </c>
      <c r="J4" s="344">
        <v>2.7</v>
      </c>
      <c r="K4" s="344">
        <v>2.8</v>
      </c>
      <c r="L4" s="344">
        <v>2.7</v>
      </c>
      <c r="M4" s="344">
        <v>2.7</v>
      </c>
      <c r="N4" s="345">
        <v>3</v>
      </c>
      <c r="O4" s="344">
        <f t="shared" ref="O4:O33" si="0">AVERAGE(B4:M4)</f>
        <v>2.9583333333333339</v>
      </c>
      <c r="P4" s="346">
        <f t="shared" ref="P4:P32" si="1">(B4+C4+D4+E4+F4+G4+H4+I4+J4+K4+L4+M4)/12</f>
        <v>2.9583333333333339</v>
      </c>
    </row>
    <row r="5" spans="1:16" ht="24.4" customHeight="1">
      <c r="A5" s="347">
        <v>1994</v>
      </c>
      <c r="B5" s="348">
        <v>2.5</v>
      </c>
      <c r="C5" s="349">
        <v>2.5</v>
      </c>
      <c r="D5" s="349">
        <v>2.5</v>
      </c>
      <c r="E5" s="349">
        <v>2.4</v>
      </c>
      <c r="F5" s="349">
        <v>2.2999999999999998</v>
      </c>
      <c r="G5" s="349">
        <v>2.5</v>
      </c>
      <c r="H5" s="349">
        <v>2.8</v>
      </c>
      <c r="I5" s="349">
        <v>2.9</v>
      </c>
      <c r="J5" s="349">
        <v>3</v>
      </c>
      <c r="K5" s="349">
        <v>2.6</v>
      </c>
      <c r="L5" s="349">
        <v>2.7</v>
      </c>
      <c r="M5" s="349">
        <v>2.7</v>
      </c>
      <c r="N5" s="350">
        <v>2.6</v>
      </c>
      <c r="O5" s="351">
        <f t="shared" si="0"/>
        <v>2.6166666666666667</v>
      </c>
      <c r="P5" s="352">
        <f t="shared" si="1"/>
        <v>2.6166666666666667</v>
      </c>
    </row>
    <row r="6" spans="1:16" ht="24.4" customHeight="1">
      <c r="A6" s="342">
        <v>1995</v>
      </c>
      <c r="B6" s="343">
        <v>2.8</v>
      </c>
      <c r="C6" s="344">
        <v>2.9</v>
      </c>
      <c r="D6" s="344">
        <v>2.9</v>
      </c>
      <c r="E6" s="344">
        <v>3.1</v>
      </c>
      <c r="F6" s="344">
        <v>3.2</v>
      </c>
      <c r="G6" s="344">
        <v>3</v>
      </c>
      <c r="H6" s="344">
        <v>2.8</v>
      </c>
      <c r="I6" s="344">
        <v>2.6</v>
      </c>
      <c r="J6" s="344">
        <v>2.5</v>
      </c>
      <c r="K6" s="344">
        <v>2.8</v>
      </c>
      <c r="L6" s="344">
        <v>2.6</v>
      </c>
      <c r="M6" s="344">
        <v>2.5</v>
      </c>
      <c r="N6" s="345">
        <v>2.8</v>
      </c>
      <c r="O6" s="344">
        <f t="shared" si="0"/>
        <v>2.8083333333333336</v>
      </c>
      <c r="P6" s="353">
        <f t="shared" si="1"/>
        <v>2.8083333333333336</v>
      </c>
    </row>
    <row r="7" spans="1:16" ht="24.4" customHeight="1">
      <c r="A7" s="347">
        <v>1996</v>
      </c>
      <c r="B7" s="348">
        <v>2.7</v>
      </c>
      <c r="C7" s="349">
        <v>2.7</v>
      </c>
      <c r="D7" s="349">
        <v>2.8</v>
      </c>
      <c r="E7" s="349">
        <v>2.9</v>
      </c>
      <c r="F7" s="349">
        <v>2.9</v>
      </c>
      <c r="G7" s="349">
        <v>2.8</v>
      </c>
      <c r="H7" s="349">
        <v>3</v>
      </c>
      <c r="I7" s="349">
        <v>2.9</v>
      </c>
      <c r="J7" s="349">
        <v>3</v>
      </c>
      <c r="K7" s="349">
        <v>3</v>
      </c>
      <c r="L7" s="349">
        <v>3.3</v>
      </c>
      <c r="M7" s="349">
        <v>3.3</v>
      </c>
      <c r="N7" s="350">
        <v>3</v>
      </c>
      <c r="O7" s="351">
        <f t="shared" si="0"/>
        <v>2.9416666666666664</v>
      </c>
      <c r="P7" s="352">
        <f t="shared" si="1"/>
        <v>2.9416666666666664</v>
      </c>
    </row>
    <row r="8" spans="1:16" ht="24.4" customHeight="1">
      <c r="A8" s="342">
        <v>1997</v>
      </c>
      <c r="B8" s="343">
        <v>3</v>
      </c>
      <c r="C8" s="344">
        <v>3</v>
      </c>
      <c r="D8" s="344">
        <v>2.8</v>
      </c>
      <c r="E8" s="344">
        <v>2.5</v>
      </c>
      <c r="F8" s="344">
        <v>2.2000000000000002</v>
      </c>
      <c r="G8" s="344">
        <v>2.2999999999999998</v>
      </c>
      <c r="H8" s="344">
        <v>2.2000000000000002</v>
      </c>
      <c r="I8" s="344">
        <v>2.2000000000000002</v>
      </c>
      <c r="J8" s="344">
        <v>2.2000000000000002</v>
      </c>
      <c r="K8" s="344">
        <v>2.1</v>
      </c>
      <c r="L8" s="344">
        <v>1.8</v>
      </c>
      <c r="M8" s="344">
        <v>1.7</v>
      </c>
      <c r="N8" s="345">
        <v>2.2999999999999998</v>
      </c>
      <c r="O8" s="344">
        <f t="shared" si="0"/>
        <v>2.3333333333333335</v>
      </c>
      <c r="P8" s="353">
        <f t="shared" si="1"/>
        <v>2.3333333333333335</v>
      </c>
    </row>
    <row r="9" spans="1:16" ht="24.4" customHeight="1">
      <c r="A9" s="347">
        <v>1998</v>
      </c>
      <c r="B9" s="348">
        <v>1.6</v>
      </c>
      <c r="C9" s="349">
        <v>1.4</v>
      </c>
      <c r="D9" s="349">
        <v>1.4</v>
      </c>
      <c r="E9" s="349">
        <v>1.4</v>
      </c>
      <c r="F9" s="349">
        <v>1.7</v>
      </c>
      <c r="G9" s="349">
        <v>1.7</v>
      </c>
      <c r="H9" s="349">
        <v>1.7</v>
      </c>
      <c r="I9" s="349">
        <v>1.6</v>
      </c>
      <c r="J9" s="349">
        <v>1.5</v>
      </c>
      <c r="K9" s="349">
        <v>1.5</v>
      </c>
      <c r="L9" s="349">
        <v>1.5</v>
      </c>
      <c r="M9" s="349">
        <v>1.6</v>
      </c>
      <c r="N9" s="350">
        <v>1.6</v>
      </c>
      <c r="O9" s="351">
        <f t="shared" si="0"/>
        <v>1.55</v>
      </c>
      <c r="P9" s="352">
        <f t="shared" si="1"/>
        <v>1.55</v>
      </c>
    </row>
    <row r="10" spans="1:16" ht="24.4" customHeight="1">
      <c r="A10" s="342">
        <v>1999</v>
      </c>
      <c r="B10" s="343">
        <v>1.7</v>
      </c>
      <c r="C10" s="344">
        <v>1.6</v>
      </c>
      <c r="D10" s="344">
        <v>1.7</v>
      </c>
      <c r="E10" s="344">
        <v>2.2999999999999998</v>
      </c>
      <c r="F10" s="344">
        <v>2.1</v>
      </c>
      <c r="G10" s="344">
        <v>2</v>
      </c>
      <c r="H10" s="344">
        <v>2.1</v>
      </c>
      <c r="I10" s="344">
        <v>2.2999999999999998</v>
      </c>
      <c r="J10" s="344">
        <v>2.6</v>
      </c>
      <c r="K10" s="344">
        <v>2.6</v>
      </c>
      <c r="L10" s="344">
        <v>2.6</v>
      </c>
      <c r="M10" s="344">
        <v>2.7</v>
      </c>
      <c r="N10" s="345">
        <v>2.2000000000000002</v>
      </c>
      <c r="O10" s="344">
        <f t="shared" si="0"/>
        <v>2.1916666666666669</v>
      </c>
      <c r="P10" s="353">
        <f t="shared" si="1"/>
        <v>2.1916666666666669</v>
      </c>
    </row>
    <row r="11" spans="1:16" ht="24.4" customHeight="1">
      <c r="A11" s="347">
        <v>2000</v>
      </c>
      <c r="B11" s="348">
        <v>2.7</v>
      </c>
      <c r="C11" s="349">
        <v>3.2</v>
      </c>
      <c r="D11" s="349">
        <v>3.8</v>
      </c>
      <c r="E11" s="349">
        <v>3.1</v>
      </c>
      <c r="F11" s="349">
        <v>3.2</v>
      </c>
      <c r="G11" s="349">
        <v>3.7</v>
      </c>
      <c r="H11" s="349">
        <v>3.7</v>
      </c>
      <c r="I11" s="349">
        <v>3.4</v>
      </c>
      <c r="J11" s="349">
        <v>3.5</v>
      </c>
      <c r="K11" s="349">
        <v>3.4</v>
      </c>
      <c r="L11" s="349">
        <v>3.4</v>
      </c>
      <c r="M11" s="349">
        <v>3.4</v>
      </c>
      <c r="N11" s="350">
        <v>3.4</v>
      </c>
      <c r="O11" s="351">
        <f t="shared" si="0"/>
        <v>3.3749999999999996</v>
      </c>
      <c r="P11" s="352">
        <f t="shared" si="1"/>
        <v>3.3749999999999996</v>
      </c>
    </row>
    <row r="12" spans="1:16" ht="24.4" customHeight="1">
      <c r="A12" s="342">
        <v>2001</v>
      </c>
      <c r="B12" s="343">
        <v>3.7</v>
      </c>
      <c r="C12" s="344">
        <v>3.5</v>
      </c>
      <c r="D12" s="344">
        <v>2.9</v>
      </c>
      <c r="E12" s="344">
        <v>3.3</v>
      </c>
      <c r="F12" s="344">
        <v>3.6</v>
      </c>
      <c r="G12" s="344">
        <v>3.2</v>
      </c>
      <c r="H12" s="344">
        <v>2.7</v>
      </c>
      <c r="I12" s="344">
        <v>2.7</v>
      </c>
      <c r="J12" s="344">
        <v>2.6</v>
      </c>
      <c r="K12" s="344">
        <v>2.1</v>
      </c>
      <c r="L12" s="344">
        <v>1.9</v>
      </c>
      <c r="M12" s="344">
        <v>1.6</v>
      </c>
      <c r="N12" s="345">
        <v>2.8</v>
      </c>
      <c r="O12" s="344">
        <f t="shared" si="0"/>
        <v>2.8166666666666669</v>
      </c>
      <c r="P12" s="353">
        <f t="shared" si="1"/>
        <v>2.8166666666666669</v>
      </c>
    </row>
    <row r="13" spans="1:16" ht="24.4" customHeight="1">
      <c r="A13" s="347">
        <v>2002</v>
      </c>
      <c r="B13" s="348">
        <v>1.1000000000000001</v>
      </c>
      <c r="C13" s="349">
        <v>1.1000000000000001</v>
      </c>
      <c r="D13" s="349">
        <v>1.5</v>
      </c>
      <c r="E13" s="349">
        <v>1.6</v>
      </c>
      <c r="F13" s="349">
        <v>1.2</v>
      </c>
      <c r="G13" s="349">
        <v>1.1000000000000001</v>
      </c>
      <c r="H13" s="349">
        <v>1.5</v>
      </c>
      <c r="I13" s="349">
        <v>1.8</v>
      </c>
      <c r="J13" s="349">
        <v>1.5</v>
      </c>
      <c r="K13" s="349">
        <v>2</v>
      </c>
      <c r="L13" s="349">
        <v>2.2000000000000002</v>
      </c>
      <c r="M13" s="349">
        <v>2.4</v>
      </c>
      <c r="N13" s="350">
        <v>1.6</v>
      </c>
      <c r="O13" s="351">
        <f t="shared" si="0"/>
        <v>1.5833333333333333</v>
      </c>
      <c r="P13" s="352">
        <f t="shared" si="1"/>
        <v>1.5833333333333333</v>
      </c>
    </row>
    <row r="14" spans="1:16" ht="24.4" customHeight="1">
      <c r="A14" s="342">
        <v>2003</v>
      </c>
      <c r="B14" s="343">
        <v>2.6</v>
      </c>
      <c r="C14" s="344">
        <v>3</v>
      </c>
      <c r="D14" s="344">
        <v>3</v>
      </c>
      <c r="E14" s="344">
        <v>2.2000000000000002</v>
      </c>
      <c r="F14" s="344">
        <v>2.1</v>
      </c>
      <c r="G14" s="344">
        <v>2.1</v>
      </c>
      <c r="H14" s="344">
        <v>2.1</v>
      </c>
      <c r="I14" s="344">
        <v>2.2000000000000002</v>
      </c>
      <c r="J14" s="344">
        <v>2.2999999999999998</v>
      </c>
      <c r="K14" s="344">
        <v>2</v>
      </c>
      <c r="L14" s="344">
        <v>1.8</v>
      </c>
      <c r="M14" s="344">
        <v>1.9</v>
      </c>
      <c r="N14" s="345">
        <v>2.2999999999999998</v>
      </c>
      <c r="O14" s="344">
        <f t="shared" si="0"/>
        <v>2.2749999999999999</v>
      </c>
      <c r="P14" s="353">
        <f t="shared" si="1"/>
        <v>2.2749999999999999</v>
      </c>
    </row>
    <row r="15" spans="1:16" ht="24.4" customHeight="1">
      <c r="A15" s="347">
        <v>2004</v>
      </c>
      <c r="B15" s="348">
        <v>1.9</v>
      </c>
      <c r="C15" s="349">
        <v>1.7</v>
      </c>
      <c r="D15" s="349">
        <v>1.7</v>
      </c>
      <c r="E15" s="349">
        <v>2.2999999999999998</v>
      </c>
      <c r="F15" s="349">
        <v>3.1</v>
      </c>
      <c r="G15" s="349">
        <v>3.3</v>
      </c>
      <c r="H15" s="349">
        <v>3</v>
      </c>
      <c r="I15" s="349">
        <v>2.7</v>
      </c>
      <c r="J15" s="349">
        <v>2.5</v>
      </c>
      <c r="K15" s="349">
        <v>3.2</v>
      </c>
      <c r="L15" s="349">
        <v>3.5</v>
      </c>
      <c r="M15" s="349">
        <v>3.3</v>
      </c>
      <c r="N15" s="350">
        <v>2.7</v>
      </c>
      <c r="O15" s="351">
        <f t="shared" si="0"/>
        <v>2.6833333333333331</v>
      </c>
      <c r="P15" s="352">
        <f t="shared" si="1"/>
        <v>2.6833333333333331</v>
      </c>
    </row>
    <row r="16" spans="1:16" ht="24.4" customHeight="1">
      <c r="A16" s="342">
        <v>2005</v>
      </c>
      <c r="B16" s="343">
        <v>3</v>
      </c>
      <c r="C16" s="344">
        <v>3</v>
      </c>
      <c r="D16" s="344">
        <v>3.1</v>
      </c>
      <c r="E16" s="344">
        <v>3.5</v>
      </c>
      <c r="F16" s="344">
        <v>2.8</v>
      </c>
      <c r="G16" s="344">
        <v>2.5</v>
      </c>
      <c r="H16" s="344">
        <v>3.2</v>
      </c>
      <c r="I16" s="344">
        <v>3.6</v>
      </c>
      <c r="J16" s="344">
        <v>4.7</v>
      </c>
      <c r="K16" s="344">
        <v>4.3</v>
      </c>
      <c r="L16" s="344">
        <v>3.5</v>
      </c>
      <c r="M16" s="344">
        <v>3.4</v>
      </c>
      <c r="N16" s="345">
        <v>3.4</v>
      </c>
      <c r="O16" s="344">
        <f t="shared" si="0"/>
        <v>3.3833333333333329</v>
      </c>
      <c r="P16" s="353">
        <f t="shared" si="1"/>
        <v>3.3833333333333329</v>
      </c>
    </row>
    <row r="17" spans="1:16" ht="24.4" customHeight="1">
      <c r="A17" s="347">
        <v>2006</v>
      </c>
      <c r="B17" s="348">
        <v>4</v>
      </c>
      <c r="C17" s="349">
        <v>3.6</v>
      </c>
      <c r="D17" s="349">
        <v>3.4</v>
      </c>
      <c r="E17" s="349">
        <v>3.5</v>
      </c>
      <c r="F17" s="349">
        <v>4.2</v>
      </c>
      <c r="G17" s="349">
        <v>4.3</v>
      </c>
      <c r="H17" s="349">
        <v>4.0999999999999996</v>
      </c>
      <c r="I17" s="349">
        <v>3.8</v>
      </c>
      <c r="J17" s="349">
        <v>2.1</v>
      </c>
      <c r="K17" s="349">
        <v>1.3</v>
      </c>
      <c r="L17" s="349">
        <v>2</v>
      </c>
      <c r="M17" s="349">
        <v>2.5</v>
      </c>
      <c r="N17" s="350">
        <v>3.2</v>
      </c>
      <c r="O17" s="351">
        <f t="shared" si="0"/>
        <v>3.2333333333333329</v>
      </c>
      <c r="P17" s="352">
        <f t="shared" si="1"/>
        <v>3.2333333333333329</v>
      </c>
    </row>
    <row r="18" spans="1:16" ht="24.4" customHeight="1">
      <c r="A18" s="342">
        <v>2007</v>
      </c>
      <c r="B18" s="343">
        <v>2.1</v>
      </c>
      <c r="C18" s="344">
        <v>2.4</v>
      </c>
      <c r="D18" s="344">
        <v>2.8</v>
      </c>
      <c r="E18" s="344">
        <v>2.6</v>
      </c>
      <c r="F18" s="344">
        <v>2.7</v>
      </c>
      <c r="G18" s="344">
        <v>2.7</v>
      </c>
      <c r="H18" s="344">
        <v>2.4</v>
      </c>
      <c r="I18" s="344">
        <v>2</v>
      </c>
      <c r="J18" s="344">
        <v>2.8</v>
      </c>
      <c r="K18" s="344">
        <v>3.5</v>
      </c>
      <c r="L18" s="344">
        <v>4.3</v>
      </c>
      <c r="M18" s="344">
        <v>4.0999999999999996</v>
      </c>
      <c r="N18" s="345">
        <v>2.8</v>
      </c>
      <c r="O18" s="344">
        <f t="shared" si="0"/>
        <v>2.8666666666666667</v>
      </c>
      <c r="P18" s="353">
        <f t="shared" si="1"/>
        <v>2.8666666666666667</v>
      </c>
    </row>
    <row r="19" spans="1:16" ht="24.4" customHeight="1">
      <c r="A19" s="347">
        <v>2008</v>
      </c>
      <c r="B19" s="348">
        <v>4.3</v>
      </c>
      <c r="C19" s="349">
        <v>4</v>
      </c>
      <c r="D19" s="349">
        <v>4</v>
      </c>
      <c r="E19" s="349">
        <v>3.9</v>
      </c>
      <c r="F19" s="349">
        <v>4.2</v>
      </c>
      <c r="G19" s="349">
        <v>5</v>
      </c>
      <c r="H19" s="349">
        <v>5.6</v>
      </c>
      <c r="I19" s="349">
        <v>5.4</v>
      </c>
      <c r="J19" s="349">
        <v>4.9000000000000004</v>
      </c>
      <c r="K19" s="349">
        <v>3.7</v>
      </c>
      <c r="L19" s="349">
        <v>1.1000000000000001</v>
      </c>
      <c r="M19" s="349">
        <v>0.1</v>
      </c>
      <c r="N19" s="350">
        <v>3.8</v>
      </c>
      <c r="O19" s="351">
        <f t="shared" si="0"/>
        <v>3.85</v>
      </c>
      <c r="P19" s="352">
        <f t="shared" si="1"/>
        <v>3.85</v>
      </c>
    </row>
    <row r="20" spans="1:16" ht="24.4" customHeight="1">
      <c r="A20" s="342">
        <v>2009</v>
      </c>
      <c r="B20" s="343">
        <v>0</v>
      </c>
      <c r="C20" s="344">
        <v>0.2</v>
      </c>
      <c r="D20" s="344">
        <v>-0.4</v>
      </c>
      <c r="E20" s="344">
        <v>-0.7</v>
      </c>
      <c r="F20" s="344">
        <v>-1.3</v>
      </c>
      <c r="G20" s="344">
        <v>-1.4</v>
      </c>
      <c r="H20" s="344">
        <v>-2.1</v>
      </c>
      <c r="I20" s="344">
        <v>-1.5</v>
      </c>
      <c r="J20" s="344">
        <v>-1.3</v>
      </c>
      <c r="K20" s="344">
        <v>-0.2</v>
      </c>
      <c r="L20" s="344">
        <v>1.8</v>
      </c>
      <c r="M20" s="344">
        <v>2.7</v>
      </c>
      <c r="N20" s="345">
        <v>-0.4</v>
      </c>
      <c r="O20" s="344">
        <f t="shared" si="0"/>
        <v>-0.34999999999999992</v>
      </c>
      <c r="P20" s="353">
        <f t="shared" si="1"/>
        <v>-0.34999999999999992</v>
      </c>
    </row>
    <row r="21" spans="1:16" ht="24.4" customHeight="1">
      <c r="A21" s="347">
        <v>2010</v>
      </c>
      <c r="B21" s="348">
        <v>2.6</v>
      </c>
      <c r="C21" s="349">
        <v>2.1</v>
      </c>
      <c r="D21" s="349">
        <v>2.2999999999999998</v>
      </c>
      <c r="E21" s="349">
        <v>2.2000000000000002</v>
      </c>
      <c r="F21" s="349">
        <v>2</v>
      </c>
      <c r="G21" s="349">
        <v>1.1000000000000001</v>
      </c>
      <c r="H21" s="349">
        <v>1.2</v>
      </c>
      <c r="I21" s="349">
        <v>1.1000000000000001</v>
      </c>
      <c r="J21" s="349">
        <v>1.1000000000000001</v>
      </c>
      <c r="K21" s="349">
        <v>1.2</v>
      </c>
      <c r="L21" s="349">
        <v>1.1000000000000001</v>
      </c>
      <c r="M21" s="349">
        <v>1.5</v>
      </c>
      <c r="N21" s="350">
        <v>1.6</v>
      </c>
      <c r="O21" s="351">
        <f t="shared" si="0"/>
        <v>1.625</v>
      </c>
      <c r="P21" s="352">
        <f t="shared" si="1"/>
        <v>1.625</v>
      </c>
    </row>
    <row r="22" spans="1:16" ht="24.4" customHeight="1">
      <c r="A22" s="342">
        <v>2011</v>
      </c>
      <c r="B22" s="343">
        <v>1.6</v>
      </c>
      <c r="C22" s="344">
        <v>2.1</v>
      </c>
      <c r="D22" s="344">
        <v>2.7</v>
      </c>
      <c r="E22" s="344">
        <v>3.2</v>
      </c>
      <c r="F22" s="344">
        <v>3.6</v>
      </c>
      <c r="G22" s="344">
        <v>3.6</v>
      </c>
      <c r="H22" s="344">
        <v>3.6</v>
      </c>
      <c r="I22" s="344">
        <v>3.8</v>
      </c>
      <c r="J22" s="344">
        <v>3.9</v>
      </c>
      <c r="K22" s="344">
        <v>3.5</v>
      </c>
      <c r="L22" s="344">
        <v>3.4</v>
      </c>
      <c r="M22" s="344">
        <v>3</v>
      </c>
      <c r="N22" s="345">
        <v>3.2</v>
      </c>
      <c r="O22" s="344">
        <f t="shared" si="0"/>
        <v>3.1666666666666665</v>
      </c>
      <c r="P22" s="353">
        <f t="shared" si="1"/>
        <v>3.1666666666666665</v>
      </c>
    </row>
    <row r="23" spans="1:16" ht="24.4" customHeight="1">
      <c r="A23" s="347">
        <v>2012</v>
      </c>
      <c r="B23" s="348">
        <v>2.9</v>
      </c>
      <c r="C23" s="349">
        <v>2.9</v>
      </c>
      <c r="D23" s="349">
        <v>2.7</v>
      </c>
      <c r="E23" s="349">
        <v>2.2999999999999998</v>
      </c>
      <c r="F23" s="349">
        <v>1.7</v>
      </c>
      <c r="G23" s="349">
        <v>1.7</v>
      </c>
      <c r="H23" s="349">
        <v>1.4</v>
      </c>
      <c r="I23" s="349">
        <v>1.7</v>
      </c>
      <c r="J23" s="349">
        <v>2</v>
      </c>
      <c r="K23" s="349">
        <v>2.2000000000000002</v>
      </c>
      <c r="L23" s="349">
        <v>1.8</v>
      </c>
      <c r="M23" s="349">
        <v>1.7</v>
      </c>
      <c r="N23" s="350">
        <v>2.1</v>
      </c>
      <c r="O23" s="351">
        <f t="shared" si="0"/>
        <v>2.0833333333333335</v>
      </c>
      <c r="P23" s="352">
        <f t="shared" si="1"/>
        <v>2.0833333333333335</v>
      </c>
    </row>
    <row r="24" spans="1:16" ht="24.4" customHeight="1">
      <c r="A24" s="342">
        <v>2013</v>
      </c>
      <c r="B24" s="343">
        <v>1.6</v>
      </c>
      <c r="C24" s="344">
        <v>2</v>
      </c>
      <c r="D24" s="344">
        <v>1.5</v>
      </c>
      <c r="E24" s="344">
        <v>1.1000000000000001</v>
      </c>
      <c r="F24" s="344">
        <v>1.4</v>
      </c>
      <c r="G24" s="344">
        <v>1.8</v>
      </c>
      <c r="H24" s="344">
        <v>2</v>
      </c>
      <c r="I24" s="344">
        <v>1.5</v>
      </c>
      <c r="J24" s="344">
        <v>1.2</v>
      </c>
      <c r="K24" s="344">
        <v>1</v>
      </c>
      <c r="L24" s="344">
        <v>1.2</v>
      </c>
      <c r="M24" s="344">
        <v>1.5</v>
      </c>
      <c r="N24" s="345">
        <v>1.5</v>
      </c>
      <c r="O24" s="344">
        <f t="shared" si="0"/>
        <v>1.4833333333333334</v>
      </c>
      <c r="P24" s="353">
        <f t="shared" si="1"/>
        <v>1.4833333333333334</v>
      </c>
    </row>
    <row r="25" spans="1:16" ht="24.4" customHeight="1">
      <c r="A25" s="347">
        <v>2014</v>
      </c>
      <c r="B25" s="348">
        <v>1.6</v>
      </c>
      <c r="C25" s="349">
        <v>1.1000000000000001</v>
      </c>
      <c r="D25" s="349">
        <v>1.5</v>
      </c>
      <c r="E25" s="349">
        <v>2</v>
      </c>
      <c r="F25" s="349">
        <v>2.1</v>
      </c>
      <c r="G25" s="349">
        <v>2.1</v>
      </c>
      <c r="H25" s="349">
        <v>2</v>
      </c>
      <c r="I25" s="349">
        <v>1.7</v>
      </c>
      <c r="J25" s="349">
        <v>1.7</v>
      </c>
      <c r="K25" s="349">
        <v>1.7</v>
      </c>
      <c r="L25" s="349">
        <v>1.3</v>
      </c>
      <c r="M25" s="349">
        <v>0.8</v>
      </c>
      <c r="N25" s="350">
        <v>1.6</v>
      </c>
      <c r="O25" s="351">
        <f t="shared" si="0"/>
        <v>1.6333333333333335</v>
      </c>
      <c r="P25" s="352">
        <f t="shared" si="1"/>
        <v>1.6333333333333335</v>
      </c>
    </row>
    <row r="26" spans="1:16" ht="24.4" customHeight="1">
      <c r="A26" s="342">
        <v>2015</v>
      </c>
      <c r="B26" s="343">
        <v>-0.1</v>
      </c>
      <c r="C26" s="344">
        <v>0</v>
      </c>
      <c r="D26" s="344">
        <v>-0.1</v>
      </c>
      <c r="E26" s="344">
        <v>-0.2</v>
      </c>
      <c r="F26" s="344">
        <v>0</v>
      </c>
      <c r="G26" s="344">
        <v>0.1</v>
      </c>
      <c r="H26" s="344">
        <v>0.2</v>
      </c>
      <c r="I26" s="344">
        <v>0.2</v>
      </c>
      <c r="J26" s="344">
        <v>0</v>
      </c>
      <c r="K26" s="344">
        <v>0.2</v>
      </c>
      <c r="L26" s="344">
        <v>0.5</v>
      </c>
      <c r="M26" s="344">
        <v>0.7</v>
      </c>
      <c r="N26" s="345">
        <v>0.1</v>
      </c>
      <c r="O26" s="344">
        <f t="shared" si="0"/>
        <v>0.125</v>
      </c>
      <c r="P26" s="353">
        <f t="shared" si="1"/>
        <v>0.125</v>
      </c>
    </row>
    <row r="27" spans="1:16" ht="24.4" customHeight="1">
      <c r="A27" s="347">
        <v>2016</v>
      </c>
      <c r="B27" s="348">
        <v>1.4</v>
      </c>
      <c r="C27" s="349">
        <v>1</v>
      </c>
      <c r="D27" s="349">
        <v>0.9</v>
      </c>
      <c r="E27" s="349">
        <v>1.1000000000000001</v>
      </c>
      <c r="F27" s="349">
        <v>1</v>
      </c>
      <c r="G27" s="349">
        <v>1</v>
      </c>
      <c r="H27" s="349">
        <v>0.8</v>
      </c>
      <c r="I27" s="349">
        <v>1.1000000000000001</v>
      </c>
      <c r="J27" s="349">
        <v>1.5</v>
      </c>
      <c r="K27" s="349">
        <v>1.6</v>
      </c>
      <c r="L27" s="349">
        <v>1.7</v>
      </c>
      <c r="M27" s="349">
        <v>2.1</v>
      </c>
      <c r="N27" s="350">
        <v>1.3</v>
      </c>
      <c r="O27" s="351">
        <f t="shared" si="0"/>
        <v>1.2666666666666666</v>
      </c>
      <c r="P27" s="352">
        <f t="shared" si="1"/>
        <v>1.2666666666666666</v>
      </c>
    </row>
    <row r="28" spans="1:16" ht="24.4" customHeight="1">
      <c r="A28" s="342">
        <v>2017</v>
      </c>
      <c r="B28" s="343">
        <v>2.5</v>
      </c>
      <c r="C28" s="344">
        <v>2.7</v>
      </c>
      <c r="D28" s="344">
        <v>2.4</v>
      </c>
      <c r="E28" s="344">
        <v>2.2000000000000002</v>
      </c>
      <c r="F28" s="344">
        <v>1.9</v>
      </c>
      <c r="G28" s="344">
        <v>1.6</v>
      </c>
      <c r="H28" s="344">
        <v>1.7</v>
      </c>
      <c r="I28" s="344">
        <v>1.9</v>
      </c>
      <c r="J28" s="344">
        <v>2.2000000000000002</v>
      </c>
      <c r="K28" s="344">
        <v>2</v>
      </c>
      <c r="L28" s="344">
        <v>2.2000000000000002</v>
      </c>
      <c r="M28" s="344">
        <v>2.1</v>
      </c>
      <c r="N28" s="345">
        <v>2.1</v>
      </c>
      <c r="O28" s="344">
        <f t="shared" si="0"/>
        <v>2.1166666666666667</v>
      </c>
      <c r="P28" s="353">
        <f t="shared" si="1"/>
        <v>2.1166666666666667</v>
      </c>
    </row>
    <row r="29" spans="1:16" ht="24.4" customHeight="1">
      <c r="A29" s="347">
        <v>2018</v>
      </c>
      <c r="B29" s="348">
        <v>2.1</v>
      </c>
      <c r="C29" s="349">
        <v>2.2000000000000002</v>
      </c>
      <c r="D29" s="349">
        <v>2.4</v>
      </c>
      <c r="E29" s="349">
        <v>2.5</v>
      </c>
      <c r="F29" s="349">
        <v>2.8</v>
      </c>
      <c r="G29" s="349">
        <v>2.9</v>
      </c>
      <c r="H29" s="349">
        <v>2.9</v>
      </c>
      <c r="I29" s="349">
        <v>2.7</v>
      </c>
      <c r="J29" s="349">
        <v>2.2999999999999998</v>
      </c>
      <c r="K29" s="349">
        <v>2.5</v>
      </c>
      <c r="L29" s="349">
        <v>2.2000000000000002</v>
      </c>
      <c r="M29" s="349">
        <v>1.9</v>
      </c>
      <c r="N29" s="350">
        <v>2.4</v>
      </c>
      <c r="O29" s="351">
        <f t="shared" si="0"/>
        <v>2.4499999999999997</v>
      </c>
      <c r="P29" s="352">
        <f t="shared" si="1"/>
        <v>2.4499999999999997</v>
      </c>
    </row>
    <row r="30" spans="1:16" ht="24.4" customHeight="1">
      <c r="A30" s="342">
        <v>2019</v>
      </c>
      <c r="B30" s="343">
        <v>1.6</v>
      </c>
      <c r="C30" s="344">
        <v>1.5</v>
      </c>
      <c r="D30" s="344">
        <v>1.9</v>
      </c>
      <c r="E30" s="344">
        <v>2</v>
      </c>
      <c r="F30" s="344">
        <v>1.8</v>
      </c>
      <c r="G30" s="344">
        <v>1.6</v>
      </c>
      <c r="H30" s="344">
        <v>1.8</v>
      </c>
      <c r="I30" s="344">
        <v>1.7</v>
      </c>
      <c r="J30" s="344">
        <v>1.7</v>
      </c>
      <c r="K30" s="344">
        <v>1.8</v>
      </c>
      <c r="L30" s="344">
        <v>2.1</v>
      </c>
      <c r="M30" s="344">
        <v>2.2999999999999998</v>
      </c>
      <c r="N30" s="345">
        <v>1.8</v>
      </c>
      <c r="O30" s="344">
        <f t="shared" si="0"/>
        <v>1.8166666666666667</v>
      </c>
      <c r="P30" s="353">
        <f t="shared" si="1"/>
        <v>1.8166666666666667</v>
      </c>
    </row>
    <row r="31" spans="1:16" ht="24.4" customHeight="1">
      <c r="A31" s="347">
        <v>2020</v>
      </c>
      <c r="B31" s="348">
        <v>2.5</v>
      </c>
      <c r="C31" s="349">
        <v>2.2999999999999998</v>
      </c>
      <c r="D31" s="349">
        <v>1.5</v>
      </c>
      <c r="E31" s="349">
        <v>0.3</v>
      </c>
      <c r="F31" s="349">
        <v>0.1</v>
      </c>
      <c r="G31" s="349">
        <v>0.6</v>
      </c>
      <c r="H31" s="349">
        <v>1</v>
      </c>
      <c r="I31" s="349">
        <v>1.3</v>
      </c>
      <c r="J31" s="349">
        <v>1.4</v>
      </c>
      <c r="K31" s="349">
        <v>1.2</v>
      </c>
      <c r="L31" s="349">
        <v>1.2</v>
      </c>
      <c r="M31" s="349">
        <v>1.4</v>
      </c>
      <c r="N31" s="350">
        <v>1.2</v>
      </c>
      <c r="O31" s="351">
        <f t="shared" si="0"/>
        <v>1.2333333333333332</v>
      </c>
      <c r="P31" s="352">
        <f t="shared" si="1"/>
        <v>1.2333333333333332</v>
      </c>
    </row>
    <row r="32" spans="1:16" ht="24.4" customHeight="1">
      <c r="A32" s="342">
        <v>2021</v>
      </c>
      <c r="B32" s="343">
        <v>1.4</v>
      </c>
      <c r="C32" s="344">
        <v>1.7</v>
      </c>
      <c r="D32" s="344">
        <v>2.6</v>
      </c>
      <c r="E32" s="344">
        <v>4.2</v>
      </c>
      <c r="F32" s="344">
        <v>5</v>
      </c>
      <c r="G32" s="344">
        <v>5.4</v>
      </c>
      <c r="H32" s="344">
        <v>5.4</v>
      </c>
      <c r="I32" s="344">
        <v>5.3</v>
      </c>
      <c r="J32" s="344">
        <v>5.4</v>
      </c>
      <c r="K32" s="344">
        <v>6.2</v>
      </c>
      <c r="L32" s="344">
        <v>6.8</v>
      </c>
      <c r="M32" s="344">
        <v>7</v>
      </c>
      <c r="N32" s="345">
        <v>4.7</v>
      </c>
      <c r="O32" s="344">
        <f t="shared" si="0"/>
        <v>4.7</v>
      </c>
      <c r="P32" s="353">
        <f t="shared" si="1"/>
        <v>4.7</v>
      </c>
    </row>
    <row r="33" spans="1:16" ht="22.9" customHeight="1">
      <c r="A33" s="347">
        <v>2022</v>
      </c>
      <c r="B33" s="348">
        <v>7.5</v>
      </c>
      <c r="C33" s="349">
        <v>7.9</v>
      </c>
      <c r="D33" s="349">
        <v>8.5</v>
      </c>
      <c r="E33" s="349">
        <v>8.3000000000000007</v>
      </c>
      <c r="F33" s="349">
        <v>8.6</v>
      </c>
      <c r="G33" s="349">
        <v>9.1</v>
      </c>
      <c r="H33" s="349">
        <v>8.5</v>
      </c>
      <c r="I33" s="349">
        <v>8.3000000000000007</v>
      </c>
      <c r="J33" s="349">
        <v>8.1999999999999993</v>
      </c>
      <c r="K33" s="354" t="s">
        <v>226</v>
      </c>
      <c r="L33" s="355"/>
      <c r="M33" s="355"/>
      <c r="N33" s="356">
        <v>7.5</v>
      </c>
      <c r="O33" s="351">
        <f t="shared" si="0"/>
        <v>8.3222222222222229</v>
      </c>
      <c r="P33" s="352">
        <f>(B33+C33+D33+E33+F33+G33+H33+I33+J33)/9</f>
        <v>8.3222222222222229</v>
      </c>
    </row>
    <row r="34" spans="1:16" ht="22.35" customHeight="1">
      <c r="A34" s="357"/>
      <c r="B34" s="358"/>
      <c r="C34" s="359"/>
      <c r="D34" s="359"/>
      <c r="E34" s="359"/>
      <c r="F34" s="359"/>
      <c r="G34" s="359"/>
      <c r="H34" s="359"/>
      <c r="I34" s="359"/>
      <c r="J34" s="359"/>
      <c r="K34" s="360"/>
      <c r="L34" s="355"/>
      <c r="M34" s="355"/>
      <c r="N34" s="355"/>
      <c r="O34" s="361"/>
      <c r="P34" s="361"/>
    </row>
    <row r="35" spans="1:16" ht="22.9" customHeight="1">
      <c r="A35" s="357"/>
      <c r="B35" s="358"/>
      <c r="C35" s="359"/>
      <c r="D35" s="359"/>
      <c r="E35" s="359"/>
      <c r="F35" s="359"/>
      <c r="G35" s="359"/>
      <c r="H35" s="359"/>
      <c r="I35" s="359"/>
      <c r="J35" s="359"/>
      <c r="K35" s="360"/>
      <c r="L35" s="355"/>
      <c r="M35" s="362" t="s">
        <v>227</v>
      </c>
      <c r="N35" s="363">
        <f>(N33+N32+N31+N30+N29+N28+N27+N26+N25+N24+N23+N22+N21+N20+N19+N18+N17+N16+N15+N14+N13+N12+N11+N10+N9+N8+N7+N6+N5+N4+N3)/31</f>
        <v>2.4903225806451612</v>
      </c>
      <c r="O35" s="364"/>
      <c r="P35" s="352">
        <f>SUM((P33+P32+P31+P30+P29+P28+P27+P26+P25+P24+P23+P22+P21+P20+P19+P18+P16+P17+P15+P14+P13+P12+P11+P10+P9+P8+P7+P6+P5+P4+P3)/30)</f>
        <v>2.6057407407407407</v>
      </c>
    </row>
    <row r="36" spans="1:16" ht="22.35" customHeight="1">
      <c r="A36" s="357"/>
      <c r="B36" s="358"/>
      <c r="C36" s="359"/>
      <c r="D36" s="359"/>
      <c r="E36" s="359"/>
      <c r="F36" s="359"/>
      <c r="G36" s="359"/>
      <c r="H36" s="359"/>
      <c r="I36" s="359"/>
      <c r="J36" s="359"/>
      <c r="K36" s="360"/>
      <c r="L36" s="355"/>
      <c r="M36" s="355"/>
      <c r="N36" s="355"/>
      <c r="O36" s="361"/>
      <c r="P36" s="361"/>
    </row>
    <row r="37" spans="1:16" ht="41.85" customHeight="1">
      <c r="A37" s="357"/>
      <c r="B37" s="358"/>
      <c r="C37" s="359"/>
      <c r="D37" s="359"/>
      <c r="E37" s="359"/>
      <c r="F37" s="359"/>
      <c r="G37" s="359"/>
      <c r="H37" s="359"/>
      <c r="I37" s="359"/>
      <c r="J37" s="359"/>
      <c r="K37" s="360"/>
      <c r="L37" s="355"/>
      <c r="M37" s="365" t="s">
        <v>228</v>
      </c>
      <c r="N37" s="366">
        <f>(K3+L3+M3+M4+L4+K4+J4+I4+H4+G4+F4+E4+D4+C4+B4+B5+C5+D5+E5+F5+G5+H5+I5+J5+K5+L5+M5+B6+C6+D6+E6+F6+G6+H6+I6+J6+K6+L6+M6+M7+L7+K7+J7+I7+H7+G7+F7+E7+D7+C7+B7+B8+C8+D8+E8+F8+G8+H8+I8+J8+K8+L8+M8+M9+L9+K9+J9+I9+H9+G9+F9+E9+D9+C9+B9+B10+B11+B13+B12+B14+B15+B16+B17+B18+B19+B20+B21+B22+B23+B24+B25+B26+B27+B28+B29+B30+B31+B32+B33+C33+C32+C31+C30+C29+C28+C27+C26+C25+C24+C23+C22+C21+C20+C19+C18+C17+C16+C14+C15+C13+C12+C11+C10+D10+E10+F10+G10+H10+I10+J10+K10+L10+M10+M11+M12+M13+M14+M15+M16+M17+M18+M19+M20+M21+M22+M23+M24+M25+M26+M27+M28+M29+M30+M31+M32+L32+L31+L29+L30+L28+L27+L26+L25+L24+L23+L22+L21+L20+L19+L18+L17+L16+L15+L14+L13+L12+L11+K11+J11+I11+H11+G11+F11+E11+D11+D12+E12+F12+G12+H12+I12+J12+K12+K13+J13+I13+H13+G13+F13+E13+D13+D14+E14+F14+G14+H14+I14+J14+K14+K15+K16+K17+K18+K19+K20+K21+K22+K23+K24+K25+K26+K27+K28+K29+K30+K31+K32+J32+J33+I33+H33+I32+H32+G32+G33+F33+F32+E32+E33+D33+D32+D31+E31+F31+G31+H31+I31+J31+J30+J30+I30+H30+G30+F30+E30+D30+D29+D28+D27+D26+D25+D24+D23+D22+D21+D20+D19+D18+D17+D16+D15+E15+F15+G15+H15+I15+J15+J16+J17+J18+I18+I17+I16+H16+H17+H18+G18+G17+G16+F16+F17+F18+E16+E17+E18+E19+E20+E21+E22+E23+E24+E25+E26+E27+E28+E29+F29+F28+F27+F26+F25+F24+F23+F22+F21+F20+F19+G19+G20+H19+H20+I19+I20+J19+J20+J21+J22+J23+J24+J25+J26+J27+J28+J29+I29+I28+I27+I26+I25+I24+I23+I22+I21+H21+G21+G22+H22+H23+G23+G24+H24+H25+G25+G26+H26+G27+H27+H28+G28+G29+H29)/360</f>
        <v>2.4652777777777799</v>
      </c>
      <c r="O37" s="364"/>
      <c r="P37" s="364"/>
    </row>
    <row r="38" spans="1:16" ht="22.35" customHeight="1">
      <c r="A38" s="357"/>
      <c r="B38" s="358"/>
      <c r="C38" s="359"/>
      <c r="D38" s="359"/>
      <c r="E38" s="359"/>
      <c r="F38" s="359"/>
      <c r="G38" s="359"/>
      <c r="H38" s="359"/>
      <c r="I38" s="359"/>
      <c r="J38" s="359"/>
      <c r="K38" s="360"/>
      <c r="L38" s="355"/>
      <c r="M38" s="355"/>
      <c r="N38" s="355"/>
      <c r="O38" s="361"/>
      <c r="P38" s="361"/>
    </row>
    <row r="39" spans="1:16" ht="22.35" customHeight="1">
      <c r="A39" s="357"/>
      <c r="B39" s="358"/>
      <c r="C39" s="359"/>
      <c r="D39" s="359"/>
      <c r="E39" s="359"/>
      <c r="F39" s="359"/>
      <c r="G39" s="359"/>
      <c r="H39" s="359"/>
      <c r="I39" s="359"/>
      <c r="J39" s="359"/>
      <c r="K39" s="360"/>
      <c r="L39" s="355"/>
      <c r="M39" s="355"/>
      <c r="N39" s="355"/>
      <c r="O39" s="364"/>
      <c r="P39" s="364"/>
    </row>
    <row r="40" spans="1:16" ht="22.35" customHeight="1">
      <c r="A40" s="357"/>
      <c r="B40" s="358"/>
      <c r="C40" s="359"/>
      <c r="D40" s="359"/>
      <c r="E40" s="359"/>
      <c r="F40" s="359"/>
      <c r="G40" s="359"/>
      <c r="H40" s="359"/>
      <c r="I40" s="359"/>
      <c r="J40" s="359"/>
      <c r="K40" s="360"/>
      <c r="L40" s="355"/>
      <c r="M40" s="355"/>
      <c r="N40" s="355"/>
      <c r="O40" s="361"/>
      <c r="P40" s="361"/>
    </row>
  </sheetData>
  <mergeCells count="1">
    <mergeCell ref="A1:P1"/>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Export Summary</vt:lpstr>
      <vt:lpstr>DPW Vehicles and Equipment 5 ye</vt:lpstr>
      <vt:lpstr>Sheet 1</vt:lpstr>
      <vt:lpstr>Use Till Fallure (UTF) Equipmen</vt:lpstr>
      <vt:lpstr>30 year inflation numbers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delisle</dc:creator>
  <cp:lastModifiedBy>Pat Delisle</cp:lastModifiedBy>
  <dcterms:created xsi:type="dcterms:W3CDTF">2024-01-09T18:47:54Z</dcterms:created>
  <dcterms:modified xsi:type="dcterms:W3CDTF">2024-01-09T18:47:54Z</dcterms:modified>
</cp:coreProperties>
</file>